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NTA CRUZ DE TENERIFE\"/>
    </mc:Choice>
  </mc:AlternateContent>
  <workbookProtection workbookAlgorithmName="SHA-512" workbookHashValue="CJFlBPMXnhu6kjBp2kKXkG3wtPxWd6Z/d+4G4aebWYnz5sh2aygyoJ37hFqvBH+L4J04jIr7LyXOSsegiYqVvA==" workbookSaltValue="7Au/hgA0gAmczCSANoSht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T21" i="20"/>
  <c r="AP21" i="27"/>
  <c r="AX21" i="20"/>
  <c r="R21" i="27"/>
  <c r="N21" i="27"/>
  <c r="AM21" i="20"/>
  <c r="AG21" i="20"/>
  <c r="AK21" i="20"/>
  <c r="W21" i="20"/>
  <c r="AU21" i="27"/>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AX21" i="27"/>
  <c r="K21" i="20"/>
  <c r="R21" i="20"/>
  <c r="N21" i="20"/>
  <c r="AU21" i="20"/>
  <c r="S21" i="27"/>
  <c r="B19" i="7" l="1"/>
  <c r="B13" i="2"/>
  <c r="AY13" i="13"/>
  <c r="BF15" i="13"/>
  <c r="BG17"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P20" i="8"/>
  <c r="BA20" i="19"/>
  <c r="BD13" i="19"/>
  <c r="BF13" i="19"/>
  <c r="AD20" i="8"/>
  <c r="V20" i="8"/>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S21" i="26"/>
  <c r="BD21" i="26"/>
  <c r="H21" i="26"/>
  <c r="AU21" i="26"/>
  <c r="M21" i="26"/>
  <c r="AD21" i="26"/>
  <c r="AO21" i="26"/>
  <c r="Y21" i="26"/>
  <c r="AA21" i="26"/>
  <c r="U21" i="26"/>
  <c r="BO21" i="26"/>
  <c r="BN21" i="26"/>
  <c r="BG21" i="26"/>
  <c r="AE21" i="26"/>
  <c r="L21" i="26"/>
  <c r="E21" i="26"/>
  <c r="BA21" i="26"/>
  <c r="AJ21" i="26"/>
  <c r="O21" i="26"/>
  <c r="AN21" i="26"/>
  <c r="BS21" i="26"/>
  <c r="BP21" i="26"/>
  <c r="BC21" i="26"/>
  <c r="V21" i="26"/>
  <c r="W21" i="26"/>
  <c r="AX21" i="26"/>
  <c r="BQ21" i="26"/>
  <c r="AZ21" i="26"/>
  <c r="BR21" i="26"/>
  <c r="R21" i="26"/>
  <c r="BI21" i="26"/>
  <c r="AM21" i="26"/>
  <c r="F21" i="26"/>
  <c r="K21" i="26"/>
  <c r="BK21" i="26"/>
  <c r="AL21" i="26"/>
  <c r="Z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P21" i="16"/>
  <c r="AX21" i="21"/>
  <c r="BR21" i="16"/>
  <c r="E20" i="17" l="1"/>
  <c r="J9" i="12"/>
  <c r="BL21" i="26"/>
  <c r="V10" i="11"/>
  <c r="U17" i="21"/>
  <c r="U19" i="21" s="1"/>
  <c r="AO11" i="17"/>
  <c r="AM18" i="11"/>
  <c r="BH19" i="16"/>
  <c r="X17" i="16"/>
  <c r="X11" i="17"/>
  <c r="X15" i="16"/>
  <c r="X19" i="16" s="1"/>
  <c r="K12" i="12"/>
  <c r="J12" i="12"/>
  <c r="BD19" i="13"/>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F21" i="11"/>
  <c r="S21" i="11"/>
  <c r="BI21" i="16"/>
  <c r="AM21" i="21"/>
  <c r="L21" i="17"/>
  <c r="AW21" i="16"/>
  <c r="BA21" i="16"/>
  <c r="BG21" i="16"/>
  <c r="BO21" i="16"/>
  <c r="AN21" i="11"/>
  <c r="Z21" i="21"/>
  <c r="Y21" i="21"/>
  <c r="V21" i="11"/>
  <c r="I21" i="17"/>
  <c r="AJ21" i="11"/>
  <c r="K21" i="21"/>
  <c r="AC21" i="11"/>
  <c r="P21" i="17"/>
  <c r="AC21" i="21"/>
  <c r="AU21" i="16"/>
  <c r="Z21" i="16"/>
  <c r="AR21" i="16"/>
  <c r="AS21" i="16"/>
  <c r="AG21" i="21"/>
  <c r="AT21" i="20"/>
  <c r="AU21" i="21"/>
  <c r="AP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AH21" i="21"/>
  <c r="F21" i="16"/>
  <c r="AB21" i="16"/>
  <c r="AF21" i="21"/>
  <c r="R21" i="16"/>
  <c r="O21" i="21"/>
  <c r="BB21" i="16"/>
  <c r="AH21" i="17"/>
  <c r="BC21" i="21"/>
  <c r="K21" i="16"/>
  <c r="BJ21" i="16"/>
  <c r="AB21" i="11"/>
  <c r="AD21" i="21"/>
  <c r="P21" i="21"/>
  <c r="AL21" i="11"/>
  <c r="Y21" i="17"/>
  <c r="AA21" i="16"/>
  <c r="AI21" i="17"/>
  <c r="Q21" i="21"/>
  <c r="W21" i="16"/>
  <c r="L21" i="11"/>
  <c r="BH21" i="16"/>
  <c r="BC21" i="16"/>
  <c r="AL21" i="21"/>
  <c r="AL21" i="16"/>
  <c r="AB21" i="21"/>
  <c r="K20" i="12" l="1"/>
  <c r="ER16" i="16"/>
  <c r="EQ16" i="16"/>
  <c r="EQ12" i="16"/>
  <c r="ER12" i="16"/>
  <c r="EQ9" i="16"/>
  <c r="EQ18" i="16"/>
  <c r="EQ10" i="16"/>
  <c r="EQ11" i="16"/>
  <c r="ER11" i="16"/>
  <c r="ER17" i="16"/>
  <c r="EQ15" i="16"/>
  <c r="ER15" i="16"/>
  <c r="ER9" i="16"/>
  <c r="ER10" i="16"/>
  <c r="EQ17" i="16"/>
  <c r="ER18" i="16"/>
  <c r="CF16" i="16"/>
  <c r="CE9" i="16"/>
  <c r="CF9" i="16"/>
  <c r="CF17" i="16"/>
  <c r="CE18" i="16"/>
  <c r="CF12" i="16"/>
  <c r="CE16" i="16"/>
  <c r="CE17" i="16"/>
  <c r="CF11" i="16"/>
  <c r="CF15" i="16"/>
  <c r="CE12" i="16"/>
  <c r="CE11" i="16"/>
  <c r="CF10" i="16"/>
  <c r="CE15" i="16"/>
  <c r="CE10" i="16"/>
  <c r="CF18" i="16"/>
  <c r="BZ16" i="16"/>
  <c r="BL21" i="16"/>
  <c r="BY16" i="16"/>
  <c r="BY9" i="16"/>
  <c r="BY10" i="16"/>
  <c r="BZ18" i="16"/>
  <c r="BY11" i="16"/>
  <c r="BY17" i="16"/>
  <c r="BZ10" i="16"/>
  <c r="BZ12" i="16"/>
  <c r="BY18" i="16"/>
  <c r="BY15" i="16"/>
  <c r="BZ9" i="16"/>
  <c r="BZ15" i="16"/>
  <c r="BZ17" i="16"/>
  <c r="BZ11" i="16"/>
  <c r="BY12" i="16"/>
  <c r="CH16" i="16"/>
  <c r="CI9" i="16"/>
  <c r="CH12" i="16"/>
  <c r="CH15" i="16"/>
  <c r="CH10" i="16"/>
  <c r="CH18" i="16"/>
  <c r="CI15" i="16"/>
  <c r="CH9" i="16"/>
  <c r="CI16" i="16"/>
  <c r="CH11" i="16"/>
  <c r="CI18" i="16"/>
  <c r="CH17" i="16"/>
  <c r="CI11" i="16"/>
  <c r="CI12" i="16"/>
  <c r="CI10"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8" i="16"/>
  <c r="EN15" i="16"/>
  <c r="EN17" i="16"/>
  <c r="EN9" i="16"/>
  <c r="EM12" i="16"/>
  <c r="EM15"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AQ21" i="17"/>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I17" i="16"/>
  <c r="EJ15" i="16"/>
  <c r="EI9" i="16"/>
  <c r="EJ9" i="16"/>
  <c r="EJ11" i="16"/>
  <c r="EI12" i="16"/>
  <c r="EI18" i="16"/>
  <c r="DH16" i="16"/>
  <c r="DG10" i="16"/>
  <c r="DH18" i="16"/>
  <c r="DH12" i="16"/>
  <c r="DH9" i="16"/>
  <c r="DH17" i="16"/>
  <c r="DG18" i="16"/>
  <c r="DG11" i="16"/>
  <c r="DG16" i="16"/>
  <c r="DG17" i="16"/>
  <c r="DH15" i="16"/>
  <c r="DG12" i="16"/>
  <c r="DG9" i="16"/>
  <c r="DH11" i="16"/>
  <c r="DG15" i="16"/>
  <c r="DH10"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<sst xmlns="http://schemas.openxmlformats.org/spreadsheetml/2006/main" count="2499" uniqueCount="1027">
  <si>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</si>
  <si>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</si>
  <si>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</si>
  <si>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</si>
  <si>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</si>
  <si>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</si>
  <si>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</si>
  <si>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</si>
  <si>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</si>
  <si>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</si>
  <si>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</si>
  <si>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</si>
  <si>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</si>
  <si>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</si>
  <si>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</si>
  <si>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</si>
  <si>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</si>
  <si>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</si>
  <si>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</si>
  <si>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</si>
  <si>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</si>
  <si>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</si>
  <si>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</si>
  <si>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</si>
  <si>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</si>
  <si>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</si>
  <si>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</si>
  <si>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</si>
  <si>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</si>
  <si>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</si>
  <si>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</si>
  <si>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</si>
  <si>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</si>
  <si>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</si>
  <si>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</si>
  <si>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</si>
  <si>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</si>
  <si>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</si>
  <si>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</si>
  <si>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</si>
  <si>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</si>
  <si>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</si>
  <si>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</si>
  <si>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</si>
  <si>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</si>
  <si>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</si>
  <si>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</si>
  <si>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</si>
  <si>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</si>
  <si>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</si>
  <si>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</si>
  <si>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</si>
  <si>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</si>
  <si>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</si>
  <si>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</si>
  <si>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</si>
  <si>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</si>
  <si>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</si>
  <si>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</si>
  <si>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</si>
  <si>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</si>
  <si>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</si>
  <si>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</si>
  <si>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</si>
  <si>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</si>
  <si>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</si>
  <si>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</si>
  <si>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</si>
  <si>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</si>
  <si>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</si>
  <si>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</si>
  <si>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</si>
  <si>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</si>
  <si>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</si>
  <si>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</si>
  <si>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</si>
  <si>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</si>
  <si>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</si>
  <si>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</si>
  <si>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</si>
  <si>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</si>
  <si>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</si>
  <si>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</si>
  <si>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</si>
  <si>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</si>
  <si>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</si>
  <si>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</si>
  <si>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</si>
  <si>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</si>
  <si>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</si>
  <si>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</si>
  <si>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</si>
  <si>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</si>
  <si>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</si>
  <si>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</si>
  <si>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</si>
  <si>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</si>
  <si>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</si>
  <si>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</si>
  <si>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</si>
  <si>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</si>
  <si>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</si>
  <si>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</si>
  <si>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</si>
  <si>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</si>
  <si>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</si>
  <si>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</si>
  <si>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</si>
  <si>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</si>
  <si>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</si>
  <si>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</si>
  <si>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</si>
  <si>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</si>
  <si>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</si>
  <si>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</si>
  <si>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</si>
  <si>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</si>
  <si>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</si>
  <si>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</si>
  <si>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</si>
  <si>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</si>
  <si>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</si>
  <si>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</si>
  <si>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</si>
  <si>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</si>
  <si>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</si>
  <si>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</si>
  <si>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</si>
  <si>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</si>
  <si>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</si>
  <si>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</si>
  <si>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</si>
  <si>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</si>
  <si>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</si>
  <si>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</si>
  <si>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</si>
  <si>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</si>
  <si>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</si>
  <si>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</si>
  <si>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</si>
  <si>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</si>
  <si>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</si>
  <si>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</si>
  <si>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</si>
  <si>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</si>
  <si>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</si>
  <si>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</si>
  <si>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</si>
  <si>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</si>
  <si>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</si>
  <si>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</si>
  <si>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</si>
  <si>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</si>
  <si>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</si>
  <si>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</si>
  <si>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</si>
  <si>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</si>
  <si>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</si>
  <si>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</si>
  <si>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</si>
  <si>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</si>
  <si>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</si>
  <si>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</si>
  <si>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</si>
  <si>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</si>
  <si>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</si>
  <si>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</si>
  <si>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</si>
  <si>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</si>
  <si>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</si>
  <si>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</si>
  <si>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</si>
  <si>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</si>
  <si>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</si>
  <si>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</si>
  <si>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</si>
  <si>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</si>
  <si>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</si>
  <si>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</si>
  <si>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</si>
  <si>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</si>
  <si>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</si>
  <si>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</si>
  <si>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</si>
  <si>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</si>
  <si>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</si>
  <si>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</si>
  <si>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</si>
  <si>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</si>
  <si>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</si>
  <si>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</si>
  <si>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</si>
  <si>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</si>
  <si>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</si>
  <si>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</si>
  <si>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</si>
  <si>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</si>
  <si>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</si>
  <si>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</si>
  <si>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</si>
  <si>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</si>
  <si>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</si>
  <si>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</si>
  <si>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</si>
  <si>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</si>
  <si>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</si>
  <si>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</si>
  <si>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</si>
  <si>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</si>
  <si>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</si>
  <si>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</si>
  <si>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</si>
  <si>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</si>
  <si>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</si>
  <si>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</si>
  <si>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</si>
  <si>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</si>
  <si>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</si>
  <si>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</si>
  <si>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</si>
  <si>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</si>
  <si>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</si>
  <si>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</si>
  <si>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</si>
  <si>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</si>
  <si>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</si>
  <si>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</si>
  <si>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</si>
  <si>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</si>
  <si>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</si>
  <si>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</si>
  <si>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</si>
  <si>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</si>
  <si>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</si>
  <si>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</si>
  <si>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</si>
  <si>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</si>
  <si>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</si>
  <si>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</si>
  <si>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</si>
  <si>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</si>
  <si>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</si>
  <si>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</si>
  <si>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</si>
  <si>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</si>
  <si>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</si>
  <si>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</si>
  <si>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</si>
  <si>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</si>
  <si>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</si>
  <si>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</si>
  <si>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</si>
  <si>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</si>
  <si>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</si>
  <si>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</si>
  <si>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</si>
  <si>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</si>
  <si>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</si>
  <si>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</si>
  <si>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</si>
  <si>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</si>
  <si>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</si>
  <si>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</si>
  <si>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</si>
  <si>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</si>
  <si>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</si>
  <si>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</si>
  <si>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</si>
  <si>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</si>
  <si>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</si>
  <si>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</si>
  <si>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</si>
  <si>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</si>
  <si>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</si>
  <si>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</si>
  <si>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</si>
  <si>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</si>
  <si>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</si>
  <si>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</si>
  <si>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</si>
  <si>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</si>
  <si>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</si>
  <si>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</si>
  <si>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</si>
  <si>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</si>
  <si>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</si>
  <si>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</si>
  <si>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</si>
  <si>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</si>
  <si>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</si>
  <si>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</si>
  <si>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</si>
  <si>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</si>
  <si>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</si>
  <si>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</si>
  <si>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</si>
  <si>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</si>
  <si>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</si>
  <si>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</si>
  <si>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</si>
  <si>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</si>
  <si>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</si>
  <si>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</si>
  <si>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</si>
  <si>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</si>
  <si>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</si>
  <si>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</si>
  <si>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</si>
  <si>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</si>
  <si>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</si>
  <si>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</si>
  <si>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</si>
  <si>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</si>
  <si>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</si>
  <si>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</si>
  <si>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</si>
  <si>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</si>
  <si>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</si>
  <si>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</si>
  <si>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</si>
  <si>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</si>
  <si>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</si>
  <si>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</si>
  <si>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</si>
  <si>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</si>
  <si>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</si>
  <si>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</si>
  <si>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</si>
  <si>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</si>
  <si>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</si>
  <si>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</si>
  <si>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</si>
  <si>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</si>
  <si>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</si>
  <si>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</si>
  <si>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</si>
  <si>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</si>
  <si>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</si>
  <si>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</si>
  <si>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</si>
  <si>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</si>
  <si>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</si>
  <si>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</si>
  <si>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</si>
  <si>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</si>
  <si>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</si>
  <si>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</si>
  <si>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</si>
  <si>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</si>
  <si>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</si>
  <si>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</si>
  <si>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</si>
  <si>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</si>
  <si>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</si>
  <si>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</si>
  <si>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</si>
  <si>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</si>
  <si>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</si>
  <si>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</si>
  <si>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</si>
  <si>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</si>
  <si>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</si>
  <si>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</si>
  <si>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</si>
  <si>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</si>
  <si>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</si>
  <si>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</si>
  <si>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</si>
  <si>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</si>
  <si>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</si>
  <si>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</si>
  <si>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</si>
  <si>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</si>
  <si>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</si>
  <si>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</si>
  <si>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</si>
  <si>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</si>
  <si>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</si>
  <si>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</si>
  <si>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</si>
  <si>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</si>
  <si>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</si>
  <si>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</si>
  <si>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</si>
  <si>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</si>
  <si>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</si>
  <si>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</si>
  <si>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</si>
  <si>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</si>
  <si>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</si>
  <si>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</si>
  <si>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</si>
  <si>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</si>
  <si>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</si>
  <si>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</si>
  <si>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</si>
  <si>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</si>
  <si>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</si>
  <si>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</si>
  <si>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</si>
  <si>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</si>
  <si>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</si>
  <si>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</si>
  <si>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</si>
  <si>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</si>
  <si>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</si>
  <si>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</si>
  <si>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</si>
  <si>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</si>
  <si>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</si>
  <si>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</si>
  <si>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</si>
  <si>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</si>
  <si>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</si>
  <si>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</si>
  <si>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</si>
  <si>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</si>
  <si>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</si>
  <si>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</si>
  <si>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</si>
  <si>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</si>
  <si>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</si>
  <si>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</si>
  <si>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</si>
  <si>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</si>
  <si>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</si>
  <si>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</si>
  <si>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</si>
  <si>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</si>
  <si>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</si>
  <si>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</si>
  <si>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</si>
  <si>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</si>
  <si>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</si>
  <si>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</si>
  <si>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</si>
  <si>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</si>
  <si>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</si>
  <si>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</si>
  <si>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</si>
  <si>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</si>
  <si>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</si>
  <si>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</si>
  <si>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</si>
  <si>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</si>
  <si>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</si>
  <si>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</si>
  <si>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</si>
  <si>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</si>
  <si>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</si>
  <si>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</si>
  <si>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</si>
  <si>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</si>
  <si>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</si>
  <si>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</si>
  <si>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</si>
  <si>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</si>
  <si>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</si>
  <si>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</si>
  <si>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</si>
  <si>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</si>
  <si>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</si>
  <si>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</si>
  <si>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</si>
  <si>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</si>
  <si>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</si>
  <si>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</si>
  <si>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</si>
  <si>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</si>
  <si>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</si>
  <si>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</si>
  <si>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</si>
  <si>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</si>
  <si>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</si>
  <si>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</si>
  <si>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</si>
  <si>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</si>
  <si>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</si>
  <si>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</si>
  <si>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</si>
  <si>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</si>
  <si>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</si>
  <si>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</si>
  <si>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</si>
  <si>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</si>
  <si>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</si>
  <si>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</si>
  <si>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</si>
  <si>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</si>
  <si>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</si>
  <si>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</si>
  <si>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</si>
  <si>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</si>
  <si>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</si>
  <si>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</si>
  <si>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</si>
  <si>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</si>
  <si>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</si>
  <si>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</si>
  <si>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</si>
  <si>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</si>
  <si>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</si>
  <si>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</si>
  <si>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</si>
  <si>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</si>
  <si>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</si>
  <si>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</si>
  <si>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</si>
  <si>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</si>
  <si>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</si>
  <si>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</si>
  <si>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</si>
  <si>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</si>
  <si>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</si>
  <si>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</si>
  <si>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</si>
  <si>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</si>
  <si>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</si>
  <si>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</si>
  <si>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</si>
  <si>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</si>
  <si>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</si>
  <si>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</si>
  <si>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</si>
  <si>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</si>
  <si>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</si>
  <si>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</si>
  <si>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</si>
  <si>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</si>
  <si>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</si>
  <si>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</si>
  <si>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</si>
  <si>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</si>
  <si>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</si>
  <si>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</si>
  <si>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</si>
  <si>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</si>
  <si>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</si>
  <si>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</si>
  <si>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</si>
  <si>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</si>
  <si>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</si>
  <si>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</si>
  <si>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</si>
  <si>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</si>
  <si>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</si>
  <si>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</si>
  <si>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</si>
  <si>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</si>
  <si>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</si>
  <si>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</si>
  <si>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</si>
  <si>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</si>
  <si>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</si>
  <si>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</si>
  <si>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</si>
  <si>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</si>
  <si>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</si>
  <si>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</si>
  <si>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</si>
  <si>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</si>
  <si>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</si>
  <si>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</si>
  <si>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</si>
  <si>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</si>
  <si>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</si>
  <si>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</si>
  <si>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</si>
  <si>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</si>
  <si>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</si>
  <si>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</si>
  <si>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</si>
  <si>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</si>
  <si>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</si>
  <si>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</si>
  <si>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</si>
  <si>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</si>
  <si>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</si>
  <si>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</si>
  <si>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</si>
  <si>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</si>
  <si>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</si>
  <si>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</si>
  <si>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</si>
  <si>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</si>
  <si>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</si>
  <si>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</si>
  <si>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</si>
  <si>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</si>
  <si>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</si>
  <si>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</si>
  <si>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</si>
  <si>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</si>
  <si>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</si>
  <si>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</si>
  <si>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</si>
  <si>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</si>
  <si>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</si>
  <si>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</si>
  <si>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</si>
  <si>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</si>
  <si>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</si>
  <si>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</si>
  <si>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</si>
  <si>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</si>
  <si>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</si>
  <si>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</si>
  <si>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</si>
  <si>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</si>
  <si>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</si>
  <si>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</si>
  <si>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</si>
  <si>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</si>
  <si>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</si>
  <si>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</si>
  <si>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</si>
  <si>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</si>
  <si>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</si>
  <si>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</si>
  <si>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</si>
  <si>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</si>
  <si>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</si>
  <si>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</si>
  <si>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</si>
  <si>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</si>
  <si>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</si>
  <si>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</si>
  <si>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</si>
  <si>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</si>
  <si>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</si>
  <si>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</si>
  <si>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</si>
  <si>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</si>
  <si>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</si>
  <si>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</si>
  <si>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</si>
  <si>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</si>
  <si>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</si>
  <si>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</si>
  <si>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</si>
  <si>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</si>
  <si>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</si>
  <si>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</si>
  <si>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</si>
  <si>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</si>
  <si>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</si>
  <si>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</si>
  <si>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</si>
  <si>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</si>
  <si>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</si>
  <si>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</si>
  <si>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</si>
  <si>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</si>
  <si>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</si>
  <si>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</si>
  <si>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</si>
  <si>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</si>
  <si>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</si>
  <si>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</si>
  <si>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</si>
  <si>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</si>
  <si>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</si>
  <si>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</si>
  <si>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</si>
  <si>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</si>
  <si>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</si>
  <si>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</si>
  <si>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</si>
  <si>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</si>
  <si>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</si>
  <si>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</si>
  <si>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</si>
  <si>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</si>
  <si>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</si>
  <si>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</si>
  <si>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</si>
  <si>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</si>
  <si>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</si>
  <si>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</si>
  <si>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</si>
  <si>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</si>
  <si>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</si>
  <si>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</si>
  <si>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</si>
  <si>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</si>
  <si>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</si>
  <si>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</si>
  <si>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</si>
  <si>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</si>
  <si>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</si>
  <si>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</si>
  <si>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</si>
  <si>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</si>
  <si>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</si>
  <si>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</si>
  <si>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</si>
  <si>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</si>
  <si>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</si>
  <si>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</si>
  <si>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</si>
  <si>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</si>
  <si>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</si>
  <si>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</si>
  <si>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</si>
  <si>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</si>
  <si>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</si>
  <si>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</si>
  <si>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</si>
  <si>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</si>
  <si>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</si>
  <si>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</si>
  <si>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</si>
  <si>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</si>
  <si>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</si>
  <si>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</si>
  <si>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</si>
  <si>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</si>
  <si>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</si>
  <si>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</si>
  <si>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</si>
  <si>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</si>
  <si>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</si>
  <si>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</si>
  <si>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</si>
  <si>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</si>
  <si>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</si>
  <si>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</si>
  <si>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</si>
  <si>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</si>
  <si>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</si>
  <si>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</si>
  <si>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</si>
  <si>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</si>
  <si>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</si>
  <si>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</si>
  <si>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</si>
  <si>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</si>
  <si>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</si>
  <si>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</si>
  <si>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</si>
  <si>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</si>
  <si>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</si>
  <si>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</si>
  <si>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</si>
  <si>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</si>
  <si>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</si>
  <si>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</si>
  <si>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</si>
  <si>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</si>
  <si>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</si>
  <si>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</si>
  <si>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</si>
  <si>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</si>
  <si>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</si>
  <si>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</si>
  <si>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</si>
  <si>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</si>
  <si>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</si>
  <si>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</si>
  <si>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</si>
  <si>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</si>
  <si>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</si>
  <si>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</si>
  <si>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</si>
  <si>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</si>
  <si>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</si>
  <si>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</si>
  <si>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</si>
  <si>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</si>
  <si>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</si>
  <si>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</si>
  <si>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</si>
  <si>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</si>
  <si>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</si>
  <si>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</si>
  <si>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</si>
  <si>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</si>
  <si>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</si>
  <si>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</si>
  <si>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</si>
  <si>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</si>
  <si>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</si>
  <si>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</si>
  <si>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</si>
  <si>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</si>
  <si>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</si>
  <si>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</si>
  <si>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</si>
  <si>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</si>
  <si>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</si>
  <si>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</si>
  <si>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</si>
  <si>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</si>
  <si>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</si>
  <si>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</si>
  <si>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</si>
  <si>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</si>
  <si>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</si>
  <si>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</si>
  <si>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</si>
  <si>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</si>
  <si>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</si>
  <si>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</si>
  <si>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</si>
  <si>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</si>
  <si>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</si>
  <si>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</si>
  <si>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</si>
  <si>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</si>
  <si>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</si>
  <si>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</si>
  <si>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</si>
  <si>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</si>
  <si>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</si>
  <si>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</si>
  <si>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</si>
  <si>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</si>
  <si>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</si>
  <si>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</si>
  <si>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</si>
  <si>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</si>
  <si>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</si>
  <si>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</si>
  <si>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</si>
  <si>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</si>
  <si>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</si>
  <si>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</si>
  <si>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</si>
  <si>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</si>
  <si>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</si>
  <si>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</si>
  <si>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</si>
  <si>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</si>
  <si>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</si>
  <si>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</si>
  <si>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</si>
  <si>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</si>
  <si>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</si>
  <si>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</si>
  <si>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</si>
  <si>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</si>
  <si>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</si>
  <si>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</si>
  <si>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</si>
  <si>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</si>
  <si>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</si>
  <si>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</si>
  <si>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</si>
  <si>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</si>
  <si>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</si>
  <si>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</si>
  <si>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</si>
  <si>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</si>
  <si>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</si>
  <si>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</si>
  <si>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</si>
  <si>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</si>
  <si>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</si>
  <si>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</si>
  <si>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</si>
  <si>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</si>
  <si>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</si>
  <si>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</si>
  <si>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</si>
  <si>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</si>
  <si>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</si>
  <si>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</si>
  <si>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</si>
  <si>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</si>
  <si>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</si>
  <si>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</si>
  <si>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</si>
  <si>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</si>
  <si>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</si>
  <si>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</si>
  <si>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</si>
  <si>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</si>
  <si>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</si>
  <si>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</si>
  <si>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</si>
  <si>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</si>
  <si>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</si>
  <si>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</si>
  <si>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</si>
  <si>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</si>
  <si>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</si>
  <si>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</si>
  <si>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</si>
  <si>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</si>
  <si>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</si>
  <si>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</si>
  <si>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</si>
  <si>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</si>
  <si>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</si>
  <si>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</si>
  <si>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</si>
  <si>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</si>
  <si>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</si>
  <si>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</si>
  <si>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</si>
  <si>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</si>
  <si>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</si>
  <si>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</si>
  <si>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</si>
  <si>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</si>
  <si>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</si>
  <si>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</si>
  <si>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</si>
  <si>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</si>
  <si>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</si>
  <si>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</si>
  <si>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</si>
  <si>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</si>
  <si>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</si>
  <si>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</si>
  <si>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</si>
  <si>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</si>
  <si>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</si>
  <si>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</si>
  <si>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</si>
  <si>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</si>
  <si>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</si>
  <si>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</si>
  <si>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</si>
  <si>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</si>
  <si>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</si>
  <si>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</si>
  <si>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</si>
  <si>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</si>
  <si>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</si>
  <si>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</si>
  <si>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</si>
  <si>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</si>
  <si>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</si>
  <si>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</si>
  <si>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</si>
  <si>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</si>
  <si>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</si>
  <si>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</si>
  <si>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</si>
  <si>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</si>
  <si>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</si>
  <si>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</si>
  <si>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</si>
  <si>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</si>
  <si>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</si>
  <si>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</si>
  <si>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</si>
  <si>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</si>
  <si>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</si>
  <si>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</si>
  <si>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</si>
  <si>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</si>
  <si>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</si>
  <si>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</si>
  <si>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</si>
  <si>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</si>
  <si>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</si>
  <si>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</si>
  <si>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</si>
  <si>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</si>
  <si>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</si>
  <si>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</si>
  <si>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</si>
  <si>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</si>
  <si>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</si>
  <si>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</si>
  <si>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</si>
  <si>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</si>
  <si>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</si>
  <si>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</si>
  <si>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</si>
  <si>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</si>
  <si>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</si>
  <si>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</si>
  <si>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</si>
  <si>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</si>
  <si>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</si>
  <si>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</si>
  <si>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</si>
  <si>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</si>
  <si>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</si>
  <si>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</si>
  <si>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</si>
  <si>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</si>
  <si>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</si>
  <si>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</si>
  <si>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</si>
  <si>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</si>
  <si>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</si>
  <si>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</si>
  <si>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</si>
  <si>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</si>
  <si>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</si>
  <si>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</si>
  <si>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</si>
  <si>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</si>
  <si>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</si>
  <si>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</si>
  <si>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</si>
  <si>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</si>
  <si>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</si>
  <si>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</si>
  <si>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</si>
  <si>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</si>
  <si>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</si>
  <si>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</si>
  <si>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</si>
  <si>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</si>
  <si>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</si>
  <si>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</si>
  <si>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</si>
  <si>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</si>
  <si>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</si>
  <si>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</si>
  <si>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</si>
  <si>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</si>
  <si>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</si>
  <si>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</si>
  <si>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</si>
  <si>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</si>
  <si>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</si>
  <si>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</si>
  <si>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</si>
  <si>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SANTA CRUZ DE TENERIFE</t>
  </si>
  <si>
    <t>Resumenes por Partidos Judiciales</t>
  </si>
  <si>
    <t>SAN CRISTOBAL DE LA LAGUNA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</si>
</sst>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Grz79ic6m25hszfvo4itFCcGz4QdhIHlVNZFsffecXlg6li3Du5FlaRB+U1n3v2u+ugr2KYXM+4qgrZ8PX33w==" saltValue="xk9IuPbc26XPeXBjL9xY8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SANTA CRUZ DE TENERIFE</v>
      </c>
      <c r="D3" s="374"/>
      <c r="E3" s="374"/>
      <c r="F3" s="374"/>
      <c r="BQ3" s="470"/>
    </row>
    <row r="4" spans="1:69" ht="13.5" thickBot="1">
      <c r="A4" s="374"/>
      <c r="B4" s="390" t="str">
        <f>Criterios!A11 &amp;"  "&amp;Criterios!B11</f>
        <v>Resumenes por Partidos Judiciales  SAN CRISTOBAL DE LA LAGUNA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7</v>
      </c>
      <c r="C9" s="402">
        <f>IF(ISNUMBER(IF(J_V="SI",Datos!I9,Datos!I9+Datos!Y9)),IF(J_V="SI",Datos!I9,Datos!I9+Datos!Y9)," - ")</f>
        <v>8583</v>
      </c>
      <c r="D9" s="403">
        <f>IF(ISNUMBER(C9/Datos!BH9),C9/Datos!BH9," - ")</f>
        <v>1226.1428571428571</v>
      </c>
      <c r="E9" s="402">
        <f>IF(ISNUMBER(IF(J_V="SI",Datos!J9,Datos!J9+Datos!Z9)),IF(J_V="SI",Datos!J9,Datos!J9+Datos!Z9)," - ")</f>
        <v>2821</v>
      </c>
      <c r="F9" s="403">
        <f>IF(ISNUMBER(E9/B9),E9/B9," - ")</f>
        <v>403</v>
      </c>
      <c r="G9" s="402">
        <f>IF(ISNUMBER(IF(J_V="SI",Datos!K9,Datos!K9+Datos!AA9)),IF(J_V="SI",Datos!K9,Datos!K9+Datos!AA9)," - ")</f>
        <v>4481</v>
      </c>
      <c r="H9" s="403">
        <f>IF(ISNUMBER(G9/B9),G9/B9," - ")</f>
        <v>640.14285714285711</v>
      </c>
      <c r="I9" s="402">
        <f>IF(ISNUMBER(IF(J_V="SI",Datos!L9,Datos!L9+Datos!AB9)),IF(J_V="SI",Datos!L9,Datos!L9+Datos!AB9)," - ")</f>
        <v>6914</v>
      </c>
      <c r="J9" s="403">
        <f>IF(ISNUMBER(I9/B9),I9/B9," - ")</f>
        <v>987.71428571428567</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0</v>
      </c>
      <c r="F10" s="403">
        <f>IF(ISNUMBER(E10/B10),E10/B10," - ")</f>
        <v>0</v>
      </c>
      <c r="G10" s="402">
        <f>IF(ISNUMBER(Datos!K10),Datos!K10," - ")</f>
        <v>0</v>
      </c>
      <c r="H10" s="403">
        <f>IF(ISNUMBER(G10/B10),G10/B10," - ")</f>
        <v>0</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v>
      </c>
      <c r="C11" s="402">
        <f>IF(ISNUMBER(IF(J_V="SI",Datos!I11,Datos!I11+Datos!Y11)),IF(J_V="SI",Datos!I11,Datos!I11+Datos!Y11)," - ")</f>
        <v>684</v>
      </c>
      <c r="D11" s="403">
        <f>IF(ISNUMBER(C11/Datos!BH11),C11/Datos!BH11," - ")</f>
        <v>342</v>
      </c>
      <c r="E11" s="402">
        <f>IF(ISNUMBER(IF(J_V="SI",Datos!J11,Datos!J11+Datos!Z11)),IF(J_V="SI",Datos!J11,Datos!J11+Datos!Z11)," - ")</f>
        <v>337</v>
      </c>
      <c r="F11" s="403">
        <f>IF(ISNUMBER(E11/B11),E11/B11," - ")</f>
        <v>337</v>
      </c>
      <c r="G11" s="402">
        <f>IF(ISNUMBER(IF(J_V="SI",Datos!K11,Datos!K11+Datos!AA11)),IF(J_V="SI",Datos!K11,Datos!K11+Datos!AA11)," - ")</f>
        <v>255</v>
      </c>
      <c r="H11" s="403">
        <f>IF(ISNUMBER(G11/B11),G11/B11," - ")</f>
        <v>255</v>
      </c>
      <c r="I11" s="402">
        <f>IF(ISNUMBER(IF(J_V="SI",Datos!L11,Datos!L11+Datos!AB11)),IF(J_V="SI",Datos!L11,Datos!L11+Datos!AB11)," - ")</f>
        <v>766</v>
      </c>
      <c r="J11" s="403">
        <f>IF(ISNUMBER(I11/B11),I11/B11," - ")</f>
        <v>766</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9269</v>
      </c>
      <c r="D13" s="847" t="str">
        <f>IF(ISNUMBER(C13/Datos!BI13),C13/Datos!BI13," - ")</f>
        <v xml:space="preserve"> - </v>
      </c>
      <c r="E13" s="846">
        <f>SUBTOTAL(9,E8:E12)</f>
        <v>3158</v>
      </c>
      <c r="F13" s="847">
        <f>IF(ISNUMBER(E13/B13),E13/B13," - ")</f>
        <v>394.75</v>
      </c>
      <c r="G13" s="846">
        <f>SUBTOTAL(9,G8:G12)</f>
        <v>4736</v>
      </c>
      <c r="H13" s="847">
        <f>IF(ISNUMBER(G13/B13),G13/B13," - ")</f>
        <v>592</v>
      </c>
      <c r="I13" s="846">
        <f>SUBTOTAL(9,I8:I12)</f>
        <v>7682</v>
      </c>
      <c r="J13" s="847">
        <f>IF(ISNUMBER(I13/B13),I13/B13," - ")</f>
        <v>960.25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2113</v>
      </c>
      <c r="D15" s="403">
        <f>IF(ISNUMBER(C15/Datos!BH15),C15/Datos!BH15," - ")</f>
        <v>528.25</v>
      </c>
      <c r="E15" s="402">
        <f>IF(ISNUMBER(IF(D_I="SI",Datos!J15,Datos!J15+Datos!AD15)),IF(D_I="SI",Datos!J15,Datos!J15+Datos!AD15)," - ")</f>
        <v>3478</v>
      </c>
      <c r="F15" s="403">
        <f>IF(ISNUMBER(E15/B15),E15/B15," - ")</f>
        <v>869.5</v>
      </c>
      <c r="G15" s="402">
        <f>IF(ISNUMBER(IF(D_I="SI",Datos!K15,Datos!K15+Datos!AE15)),IF(D_I="SI",Datos!K15,Datos!K15+Datos!AE15)," - ")</f>
        <v>3635</v>
      </c>
      <c r="H15" s="403">
        <f>IF(ISNUMBER(G15/B15),G15/B15," - ")</f>
        <v>908.75</v>
      </c>
      <c r="I15" s="402">
        <f>IF(ISNUMBER(IF(D_I="SI",Datos!L15,Datos!L15+Datos!AF15)),IF(D_I="SI",Datos!L15,Datos!L15+Datos!AF15)," - ")</f>
        <v>1972</v>
      </c>
      <c r="J15" s="403">
        <f>IF(ISNUMBER(I15/B15),I15/B15," - ")</f>
        <v>493</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f>IF(ISNUMBER(IF(D_I="SI",Datos!I17,Datos!I17+Datos!AC17)),IF(D_I="SI",Datos!I17,Datos!I17+Datos!AC17)," - ")</f>
        <v>9</v>
      </c>
      <c r="D17" s="403" t="str">
        <f>IF(ISNUMBER(C17/Datos!BH17),C17/Datos!BH17," - ")</f>
        <v xml:space="preserve"> - </v>
      </c>
      <c r="E17" s="402">
        <f>IF(ISNUMBER(IF(D_I="SI",Datos!J17,Datos!J17+Datos!AD17)),IF(D_I="SI",Datos!J17,Datos!J17+Datos!AD17)," - ")</f>
        <v>0</v>
      </c>
      <c r="F17" s="403" t="str">
        <f>IF(ISNUMBER(E17/B17),E17/B17," - ")</f>
        <v xml:space="preserve"> - </v>
      </c>
      <c r="G17" s="402">
        <f>IF(ISNUMBER(IF(D_I="SI",Datos!K17,Datos!K17+Datos!AE17)),IF(D_I="SI",Datos!K17,Datos!K17+Datos!AE17)," - ")</f>
        <v>0</v>
      </c>
      <c r="H17" s="403" t="str">
        <f>IF(ISNUMBER(G17/B17),G17/B17," - ")</f>
        <v xml:space="preserve"> - </v>
      </c>
      <c r="I17" s="402">
        <f>IF(ISNUMBER(IF(D_I="SI",Datos!L17,Datos!L17+Datos!AF17)),IF(D_I="SI",Datos!L17,Datos!L17+Datos!AF17)," - ")</f>
        <v>0</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v>
      </c>
      <c r="D18" s="403">
        <f>IF(ISNUMBER(C18/Datos!BH18),C18/Datos!BH18," - ")</f>
        <v>1</v>
      </c>
      <c r="E18" s="402">
        <f>IF(ISNUMBER(IF(D_I="SI",Datos!J18,Datos!J18+Datos!AD18)),IF(D_I="SI",Datos!J18,Datos!J18+Datos!AD18)," - ")</f>
        <v>0</v>
      </c>
      <c r="F18" s="403">
        <f>IF(ISNUMBER(E18/B18),E18/B18," - ")</f>
        <v>0</v>
      </c>
      <c r="G18" s="402">
        <f>IF(ISNUMBER(IF(D_I="SI",Datos!K18,Datos!K18+Datos!AE18)),IF(D_I="SI",Datos!K18,Datos!K18+Datos!AE18)," - ")</f>
        <v>0</v>
      </c>
      <c r="H18" s="403">
        <f>IF(ISNUMBER(G18/B18),G18/B18," - ")</f>
        <v>0</v>
      </c>
      <c r="I18" s="402">
        <f>IF(ISNUMBER(IF(D_I="SI",Datos!L18,Datos!L18+Datos!AF18)),IF(D_I="SI",Datos!L18,Datos!L18+Datos!AF18)," - ")</f>
        <v>1</v>
      </c>
      <c r="J18" s="403">
        <f>IF(ISNUMBER(I18/B18),I18/B18," - ")</f>
        <v>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2123</v>
      </c>
      <c r="D19" s="847" t="str">
        <f>IF(ISNUMBER(C19/Datos!BI19),C19/Datos!BI19," - ")</f>
        <v xml:space="preserve"> - </v>
      </c>
      <c r="E19" s="846">
        <f>SUBTOTAL(9,E14:E18)</f>
        <v>3478</v>
      </c>
      <c r="F19" s="847">
        <f>IF(ISNUMBER(E19/B19),E19/B19," - ")</f>
        <v>869.5</v>
      </c>
      <c r="G19" s="846">
        <f>SUBTOTAL(9,G14:G18)</f>
        <v>3635</v>
      </c>
      <c r="H19" s="847">
        <f>IF(ISNUMBER(G19/B19),G19/B19," - ")</f>
        <v>908.75</v>
      </c>
      <c r="I19" s="846">
        <f>SUBTOTAL(9,I14:I18)</f>
        <v>1973</v>
      </c>
      <c r="J19" s="847">
        <f>IF(ISNUMBER(I19/B19),I19/B19," - ")</f>
        <v>493.25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12</v>
      </c>
      <c r="C20" s="791">
        <f>SUBTOTAL(9,C9:C19)</f>
        <v>11392</v>
      </c>
      <c r="D20" s="792" t="str">
        <f>IF(ISNUMBER(C20/Datos!BI20),C20/Datos!BI20," - ")</f>
        <v xml:space="preserve"> - </v>
      </c>
      <c r="E20" s="791">
        <f>SUBTOTAL(9,E9:E19)</f>
        <v>6636</v>
      </c>
      <c r="F20" s="792">
        <f>IF(ISNUMBER(E20/B20),E20/B20," - ")</f>
        <v>553</v>
      </c>
      <c r="G20" s="791">
        <f>SUBTOTAL(9,G9:G19)</f>
        <v>8371</v>
      </c>
      <c r="H20" s="792">
        <f>IF(ISNUMBER(G20/B20),G20/B20," - ")</f>
        <v>697.58333333333337</v>
      </c>
      <c r="I20" s="791">
        <f>SUBTOTAL(9,I9:I19)</f>
        <v>9655</v>
      </c>
      <c r="J20" s="792">
        <f>IF(ISNUMBER(I20/B20),I20/B20," - ")</f>
        <v>804.58333333333337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XqAVSAQ8dGyf5MNbzLnlzR+XbAZeDPPLh2EprQNMQL/biJfjDlEV2B/YzZPhcchdu75FOMmgec2m82NaRP2QQg==" saltValue="CRNgZ7B2MpdrGwvNEpmaD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SANTA CRUZ DE TENERIFE</v>
      </c>
      <c r="C3" s="414"/>
      <c r="F3" s="374"/>
      <c r="G3" s="374"/>
      <c r="H3" s="374"/>
    </row>
    <row r="4" spans="1:15" ht="13.5" thickBot="1">
      <c r="A4" s="374"/>
      <c r="B4" s="390" t="str">
        <f>Criterios!A11 &amp;"  "&amp;Criterios!B11</f>
        <v>Resumenes por Partidos Judiciales  SAN CRISTOBAL DE LA LAGUNA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7</v>
      </c>
      <c r="D9" s="402">
        <f>Datos!BK9</f>
        <v>0</v>
      </c>
      <c r="E9" s="402">
        <f>Datos!AQ9</f>
        <v>7</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v>
      </c>
      <c r="D11" s="402">
        <f>Datos!BK11</f>
        <v>0</v>
      </c>
      <c r="E11" s="402">
        <f>Datos!AQ11</f>
        <v>1</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AGHK8XIIF2aP+/lfSrgsCLxxt6YXHq2gm0t+EVHYsjJUo7heDRX3Tv7R3F//0ZQVcljPUlkjeUZCet3xtWVfFQ==" saltValue="ZWx0J4UCRpetFZyF0sQZX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SANTA CRUZ DE TENERIFE</v>
      </c>
      <c r="C3" s="390"/>
      <c r="D3" s="424"/>
      <c r="BZ3" s="470"/>
    </row>
    <row r="4" spans="1:78" ht="13.5" thickBot="1">
      <c r="B4" s="390" t="str">
        <f>Criterios!A11 &amp;"  "&amp;Criterios!B11</f>
        <v>Resumenes por Partidos Judiciales  SAN CRISTOBAL DE LA LAGUNA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7</v>
      </c>
      <c r="C9" s="409">
        <f>Datos!AQ9</f>
        <v>7</v>
      </c>
      <c r="D9" s="402">
        <f>IF(ISNUMBER(Datos!M9),Datos!M9," - ")</f>
        <v>1557</v>
      </c>
      <c r="E9" s="403">
        <f t="shared" ref="E9:E13" si="0">IF(ISNUMBER(D9/B9),D9/B9," - ")</f>
        <v>222.42857142857142</v>
      </c>
      <c r="F9" s="402">
        <f>IF(ISNUMBER(Datos!N9),Datos!N9," - ")</f>
        <v>1803</v>
      </c>
      <c r="G9" s="403">
        <f t="shared" ref="G9:G13" si="1">IF(ISNUMBER(F9/B9),F9/B9," - ")</f>
        <v>257.57142857142856</v>
      </c>
      <c r="H9" s="402">
        <f>IF(ISNUMBER(Datos!O9),Datos!O9," - ")</f>
        <v>1238</v>
      </c>
      <c r="I9" s="403">
        <f>IF(ISNUMBER(H9/B9),H9/B9," - ")</f>
        <v>176.85714285714286</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1</v>
      </c>
      <c r="C11" s="409">
        <f>Datos!AQ11</f>
        <v>1</v>
      </c>
      <c r="D11" s="402">
        <f>IF(ISNUMBER(Datos!M11),Datos!M11," - ")</f>
        <v>103</v>
      </c>
      <c r="E11" s="403">
        <f t="shared" si="0"/>
        <v>103</v>
      </c>
      <c r="F11" s="402">
        <f>IF(ISNUMBER(Datos!N11),Datos!N11," - ")</f>
        <v>75</v>
      </c>
      <c r="G11" s="403">
        <f t="shared" si="1"/>
        <v>75</v>
      </c>
      <c r="H11" s="402">
        <f>IF(ISNUMBER(Datos!O11),Datos!O11," - ")</f>
        <v>51</v>
      </c>
      <c r="I11" s="403">
        <f t="shared" si="2"/>
        <v>51</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8</v>
      </c>
      <c r="C13" s="848">
        <f>Datos!AR13</f>
        <v>8</v>
      </c>
      <c r="D13" s="846">
        <f>SUBTOTAL(9,D9:D12)</f>
        <v>1660</v>
      </c>
      <c r="E13" s="847">
        <f t="shared" si="0"/>
        <v>207.5</v>
      </c>
      <c r="F13" s="846">
        <f>SUBTOTAL(9,F9:F12)</f>
        <v>1878</v>
      </c>
      <c r="G13" s="847">
        <f t="shared" si="1"/>
        <v>234.75</v>
      </c>
      <c r="H13" s="846">
        <f>SUBTOTAL(9,H9:H12)</f>
        <v>1289</v>
      </c>
      <c r="I13" s="847">
        <f>IF(ISNUMBER(H13/B13),H13/B13," - ")</f>
        <v>161.125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522</v>
      </c>
      <c r="E15" s="403">
        <f t="shared" ref="E15:E19" si="3">IF(ISNUMBER(D15/B15),D15/B15," - ")</f>
        <v>130.5</v>
      </c>
      <c r="F15" s="402">
        <f>IF(ISNUMBER(Datos!N15),Datos!N15," - ")</f>
        <v>2420</v>
      </c>
      <c r="G15" s="403">
        <f t="shared" ref="G15:G19" si="4">IF(ISNUMBER(F15/B15),F15/B15," - ")</f>
        <v>605</v>
      </c>
      <c r="H15" s="402">
        <f>IF(ISNUMBER(Datos!O15),Datos!O15," - ")</f>
        <v>91</v>
      </c>
      <c r="I15" s="403">
        <f t="shared" ref="I15:I18" si="5">IF(ISNUMBER(H15/B15),H15/B15," - ")</f>
        <v>22.75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f>IF(ISNUMBER(Datos!M17),Datos!M17," - ")</f>
        <v>0</v>
      </c>
      <c r="E17" s="403" t="str">
        <f t="shared" si="3"/>
        <v xml:space="preserve"> - </v>
      </c>
      <c r="F17" s="402">
        <f>IF(ISNUMBER(Datos!N17),Datos!N17," - ")</f>
        <v>0</v>
      </c>
      <c r="G17" s="403" t="str">
        <f t="shared" si="4"/>
        <v xml:space="preserve"> - </v>
      </c>
      <c r="H17" s="402">
        <f>IF(ISNUMBER(Datos!O17),Datos!O17," - ")</f>
        <v>0</v>
      </c>
      <c r="I17" s="403" t="str">
        <f t="shared" si="5"/>
        <v xml:space="preserve"> - </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522</v>
      </c>
      <c r="E19" s="847">
        <f t="shared" si="3"/>
        <v>130.5</v>
      </c>
      <c r="F19" s="846">
        <f>SUBTOTAL(9,F15:F18)</f>
        <v>2420</v>
      </c>
      <c r="G19" s="847">
        <f t="shared" si="4"/>
        <v>605</v>
      </c>
      <c r="H19" s="846">
        <f>SUBTOTAL(9,H15:H18)</f>
        <v>91</v>
      </c>
      <c r="I19" s="847">
        <f>IF(ISNUMBER(H19/B19),H19/B19," - ")</f>
        <v>22.75</v>
      </c>
      <c r="BZ19" s="1181"/>
    </row>
    <row r="20" spans="1:78" ht="14.25" thickTop="1" thickBot="1">
      <c r="A20" s="790" t="str">
        <f>Datos!A20</f>
        <v>TOTAL JURISDICCIONES</v>
      </c>
      <c r="B20" s="791">
        <f>Datos!AP20</f>
        <v>12</v>
      </c>
      <c r="C20" s="791">
        <f>Datos!AR20</f>
        <v>12</v>
      </c>
      <c r="D20" s="791">
        <f>SUBTOTAL(9,D8:D19)</f>
        <v>2182</v>
      </c>
      <c r="E20" s="792">
        <f>IF(ISNUMBER(D20/B20),D20/B20," - ")</f>
        <v>181.83333333333334</v>
      </c>
      <c r="F20" s="791">
        <f>SUBTOTAL(9,F8:F19)</f>
        <v>4298</v>
      </c>
      <c r="G20" s="792">
        <f>IF(ISNUMBER(F20/B20),F20/B20," - ")</f>
        <v>358.16666666666669</v>
      </c>
      <c r="H20" s="791">
        <f>SUBTOTAL(9,H8:H19)</f>
        <v>1380</v>
      </c>
      <c r="I20" s="792">
        <f>IF(ISNUMBER(H20/B20),H20/B20," - ")</f>
        <v>115</v>
      </c>
    </row>
    <row r="23" spans="1:78">
      <c r="A23" s="390" t="str">
        <f>Criterios!A4</f>
        <v>Fecha Informe: 06 oct. 2026</v>
      </c>
    </row>
    <row r="28" spans="1:78">
      <c r="A28" s="413"/>
    </row>
  </sheetData>
  <sheetProtection algorithmName="SHA-512" hashValue="MO4GF24uvrZQRwK2yC15myw2iuvbPBPOZAtJw2YN0EwjZmMyOjMdmr4/fI4Qv8/2GFGDxv+eQNF4Vikn/ocOFw==" saltValue="qqh0keOOMjPt67Pw0gaNg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SANTA CRUZ DE TENERIFE</v>
      </c>
    </row>
    <row r="4" spans="1:4" ht="13.5" thickBot="1">
      <c r="B4" s="390" t="str">
        <f>Criterios!A11 &amp;"  "&amp;Criterios!B11</f>
        <v>Resumenes por Partidos Judiciales  SAN CRISTOBAL DE LA LAGUNA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776</v>
      </c>
      <c r="C9" s="433">
        <f>IF(ISNUMBER(Datos!Q9),Datos!Q9," - ")</f>
        <v>458</v>
      </c>
      <c r="D9" s="407">
        <f>IF(ISNUMBER(Datos!R9),Datos!R9," - ")</f>
        <v>15206</v>
      </c>
    </row>
    <row r="10" spans="1:4">
      <c r="A10" s="401" t="str">
        <f>Datos!A10</f>
        <v>Sección De Violencia sobre la Mujer del TI</v>
      </c>
      <c r="B10" s="432">
        <f>IF(ISNUMBER(Datos!P10),Datos!P10," - ")</f>
        <v>0</v>
      </c>
      <c r="C10" s="433">
        <f>IF(ISNUMBER(Datos!Q10),Datos!Q10," - ")</f>
        <v>2</v>
      </c>
      <c r="D10" s="407">
        <f>IF(ISNUMBER(Datos!R10),Datos!R10," - ")</f>
        <v>64</v>
      </c>
    </row>
    <row r="11" spans="1:4">
      <c r="A11" s="401" t="str">
        <f>Datos!A11</f>
        <v xml:space="preserve">Sección de Familia, infancia y capacidad del TI                           </v>
      </c>
      <c r="B11" s="432">
        <f>IF(ISNUMBER(Datos!P11),Datos!P11," - ")</f>
        <v>8</v>
      </c>
      <c r="C11" s="433">
        <f>IF(ISNUMBER(Datos!Q11),Datos!Q11," - ")</f>
        <v>0</v>
      </c>
      <c r="D11" s="407">
        <f>IF(ISNUMBER(Datos!R11),Datos!R11," - ")</f>
        <v>21</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784</v>
      </c>
      <c r="C13" s="850">
        <f>SUBTOTAL(9,C9:C12)</f>
        <v>460</v>
      </c>
      <c r="D13" s="848">
        <f>SUBTOTAL(9,D9:D12)</f>
        <v>15291</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127</v>
      </c>
      <c r="C15" s="433">
        <f>IF(ISNUMBER(Datos!Q15),Datos!Q15," - ")</f>
        <v>221</v>
      </c>
      <c r="D15" s="407">
        <f>IF(ISNUMBER(Datos!R15),Datos!R15," - ")</f>
        <v>414</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127</v>
      </c>
      <c r="C19" s="850">
        <f>SUBTOTAL(9,C15:C18)</f>
        <v>221</v>
      </c>
      <c r="D19" s="848">
        <f>SUBTOTAL(9,D15:D18)</f>
        <v>414</v>
      </c>
    </row>
    <row r="20" spans="1:4" ht="16.5" customHeight="1" thickTop="1" thickBot="1">
      <c r="A20" s="790" t="str">
        <f>Datos!A20</f>
        <v>TOTAL JURISDICCIONES</v>
      </c>
      <c r="B20" s="795">
        <f>SUBTOTAL(9,B8:B19)</f>
        <v>911</v>
      </c>
      <c r="C20" s="796">
        <f>SUBTOTAL(9,C8:C19)</f>
        <v>681</v>
      </c>
      <c r="D20" s="797">
        <f>SUBTOTAL(9,D8:D19)</f>
        <v>15705</v>
      </c>
    </row>
    <row r="21" spans="1:4" ht="7.5" customHeight="1"/>
    <row r="22" spans="1:4" ht="6" customHeight="1"/>
    <row r="23" spans="1:4">
      <c r="A23" s="390" t="str">
        <f>Criterios!A4</f>
        <v>Fecha Informe: 06 oct. 2026</v>
      </c>
    </row>
    <row r="28" spans="1:4">
      <c r="A28" s="413"/>
    </row>
  </sheetData>
  <sheetProtection algorithmName="SHA-512" hashValue="suFwDv13jHzAzcxkcX90mTIq9ZgXVWwuUcdIuZ2AZzexmpqGntVP2PwsO0tfFwR5YTswl9I4YGElO7/v091EJQ==" saltValue="C1s3H1dmR/Nu3n45q3cgZ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SANTA CRUZ DE TENERIFE</v>
      </c>
    </row>
    <row r="4" spans="1:11" ht="10.5" customHeight="1" thickBot="1">
      <c r="B4" s="390" t="str">
        <f>Criterios!A11 &amp;"  "&amp;Criterios!B11</f>
        <v>Resumenes por Partidos Judiciales  SAN CRISTOBAL DE LA LAGUNA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-0.19218823529411766</v>
      </c>
      <c r="C9" s="455">
        <f>IF(ISNUMBER(
   IF(J_V="SI",(Datos!J9-Datos!T9)/Datos!T9,(Datos!J9+Datos!Z9-(Datos!T9+Datos!AH9))/(Datos!T9+Datos!AH9))
     ),IF(J_V="SI",(Datos!J9-Datos!T9)/Datos!T9,(Datos!J9+Datos!Z9-(Datos!T9+Datos!AH9))/(Datos!T9+Datos!AH9))," - ")</f>
        <v>-9.1465378421900168E-2</v>
      </c>
      <c r="D9" s="455">
        <f>IF(ISNUMBER(
   IF(J_V="SI",(Datos!K9-Datos!U9)/Datos!U9,(Datos!K9+Datos!AA9-(Datos!U9+Datos!AI9))/(Datos!U9+Datos!AI9))
     ),IF(J_V="SI",(Datos!K9-Datos!U9)/Datos!U9,(Datos!K9+Datos!AA9-(Datos!U9+Datos!AI9))/(Datos!U9+Datos!AI9))," - ")</f>
        <v>2.84599495065412E-2</v>
      </c>
      <c r="E9" s="455">
        <f>IF(ISNUMBER(
   IF(J_V="SI",(Datos!L9-Datos!V9)/Datos!V9,(Datos!L9+Datos!AB9-(Datos!V9+Datos!AJ9))/(Datos!V9+Datos!AJ9))
     ),IF(J_V="SI",(Datos!L9-Datos!V9)/Datos!V9,(Datos!L9+Datos!AB9-(Datos!V9+Datos!AJ9))/(Datos!V9+Datos!AJ9))," - ")</f>
        <v>-0.26266396502079559</v>
      </c>
      <c r="F9" s="455">
        <f>IF(ISNUMBER((Datos!M9-Datos!W9)/Datos!W9),(Datos!M9-Datos!W9)/Datos!W9," - ")</f>
        <v>7.379310344827586E-2</v>
      </c>
      <c r="G9" s="456">
        <f>IF(ISNUMBER((Datos!N9-Datos!X9)/Datos!X9),(Datos!N9-Datos!X9)/Datos!X9," - ")</f>
        <v>-7.0139247034553889E-2</v>
      </c>
      <c r="H9" s="454">
        <f>IF(ISNUMBER(((NºAsuntos!G9/NºAsuntos!E9)-Datos!BD9)/Datos!BD9),((NºAsuntos!G9/NºAsuntos!E9)-Datos!BD9)/Datos!BD9," - ")</f>
        <v>0.13199863283155289</v>
      </c>
      <c r="I9" s="455">
        <f>IF(ISNUMBER(((NºAsuntos!I9/NºAsuntos!G9)-Datos!BE9)/Datos!BE9),((NºAsuntos!I9/NºAsuntos!G9)-Datos!BE9)/Datos!BE9," - ")</f>
        <v>-0.2830678187002022</v>
      </c>
      <c r="J9" s="460">
        <f>IF(ISNUMBER((('Resol  Asuntos'!D9/NºAsuntos!G9)-Datos!BF9)/Datos!BF9),(('Resol  Asuntos'!D9/NºAsuntos!G9)-Datos!BF9)/Datos!BF9," - ")</f>
        <v>-0.21922945761825841</v>
      </c>
      <c r="K9" s="461">
        <f>IF(ISNUMBER((((NºAsuntos!C9+NºAsuntos!E9)/NºAsuntos!G9)-Datos!BG9)/Datos!BG9),(((NºAsuntos!C9+NºAsuntos!E9)/NºAsuntos!G9)-Datos!BG9)/Datos!BG9," - ")</f>
        <v>-0.19239446376568023</v>
      </c>
    </row>
    <row r="10" spans="1:11" ht="21">
      <c r="A10" s="401" t="str">
        <f>Datos!A10</f>
        <v>Sección De Violencia sobre la Mujer del TI</v>
      </c>
      <c r="B10" s="454">
        <f>IF(ISNUMBER((Datos!I10-Datos!S10)/Datos!S10),(Datos!I10-Datos!S10)/Datos!S10," - ")</f>
        <v>-0.8</v>
      </c>
      <c r="C10" s="455">
        <f>IF(ISNUMBER((Datos!J10-Datos!T10)/Datos!T10),(Datos!J10-Datos!T10)/Datos!T10," - ")</f>
        <v>-1</v>
      </c>
      <c r="D10" s="455">
        <f>IF(ISNUMBER((Datos!K10-Datos!U10)/Datos!U10),(Datos!K10-Datos!U10)/Datos!U10," - ")</f>
        <v>-1</v>
      </c>
      <c r="E10" s="455">
        <f>IF(ISNUMBER((Datos!L10-Datos!V10)/Datos!V10),(Datos!L10-Datos!V10)/Datos!V10," - ")</f>
        <v>-0.8</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0.35177865612648224</v>
      </c>
      <c r="C11" s="455">
        <f>IF(ISNUMBER(
   IF(J_V="SI",(Datos!J11-Datos!T11)/Datos!T11,(Datos!J11+Datos!Z11-(Datos!T11+Datos!AH11))/(Datos!T11+Datos!AH11))
     ),IF(J_V="SI",(Datos!J11-Datos!T11)/Datos!T11,(Datos!J11+Datos!Z11-(Datos!T11+Datos!AH11))/(Datos!T11+Datos!AH11))," - ")</f>
        <v>-1.1730205278592375E-2</v>
      </c>
      <c r="D11" s="455">
        <f>IF(ISNUMBER(
   IF(J_V="SI",(Datos!K11-Datos!U11)/Datos!U11,(Datos!K11+Datos!AA11-(Datos!U11+Datos!AI11))/(Datos!U11+Datos!AI11))
     ),IF(J_V="SI",(Datos!K11-Datos!U11)/Datos!U11,(Datos!K11+Datos!AA11-(Datos!U11+Datos!AI11))/(Datos!U11+Datos!AI11))," - ")</f>
        <v>-4.49438202247191E-2</v>
      </c>
      <c r="E11" s="455">
        <f>IF(ISNUMBER(
   IF(J_V="SI",(Datos!L11-Datos!V11)/Datos!V11,(Datos!L11+Datos!AB11-(Datos!V11+Datos!AJ11))/(Datos!V11+Datos!AJ11))
     ),IF(J_V="SI",(Datos!L11-Datos!V11)/Datos!V11,(Datos!L11+Datos!AB11-(Datos!V11+Datos!AJ11))/(Datos!V11+Datos!AJ11))," - ")</f>
        <v>0.32068965517241377</v>
      </c>
      <c r="F11" s="455">
        <f>IF(ISNUMBER((Datos!M11-Datos!W11)/Datos!W11),(Datos!M11-Datos!W11)/Datos!W11," - ")</f>
        <v>-0.1487603305785124</v>
      </c>
      <c r="G11" s="456">
        <f>IF(ISNUMBER((Datos!N11-Datos!X11)/Datos!X11),(Datos!N11-Datos!X11)/Datos!X11," - ")</f>
        <v>-0.27884615384615385</v>
      </c>
      <c r="H11" s="454">
        <f>IF(ISNUMBER(((NºAsuntos!G11/NºAsuntos!E11)-Datos!BD11)/Datos!BD11),((NºAsuntos!G11/NºAsuntos!E11)-Datos!BD11)/Datos!BD11," - ")</f>
        <v>-3.3607841829760197E-2</v>
      </c>
      <c r="I11" s="455">
        <f>IF(ISNUMBER(((NºAsuntos!I11/NºAsuntos!G11)-Datos!BE11)/Datos!BE11),((NºAsuntos!I11/NºAsuntos!G11)-Datos!BE11)/Datos!BE11," - ")</f>
        <v>0.38283975659229208</v>
      </c>
      <c r="J11" s="460">
        <f>IF(ISNUMBER((('Resol  Asuntos'!D11/NºAsuntos!G11)-Datos!BF11)/Datos!BF11),(('Resol  Asuntos'!D11/NºAsuntos!G11)-Datos!BF11)/Datos!BF11," - ")</f>
        <v>3.6990950226244344E-2</v>
      </c>
      <c r="K11" s="461">
        <f>IF(ISNUMBER((((NºAsuntos!C11+NºAsuntos!E11)/NºAsuntos!G11)-Datos!BG11)/Datos!BG11),(((NºAsuntos!C11+NºAsuntos!E11)/NºAsuntos!G11)-Datos!BG11)/Datos!BG11," - ")</f>
        <v>0.26215709424265576</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-0.16802800466744458</v>
      </c>
      <c r="C13" s="852">
        <f>IF(ISNUMBER(
   IF(J_V="SI",(Datos!J13-Datos!T13)/Datos!T13,(Datos!J13+Datos!Z13-(Datos!T13+Datos!AH13))/(Datos!T13+Datos!AH13))
     ),IF(J_V="SI",(Datos!J13-Datos!T13)/Datos!T13,(Datos!J13+Datos!Z13-(Datos!T13+Datos!AH13))/(Datos!T13+Datos!AH13))," - ")</f>
        <v>-8.3841021177835803E-2</v>
      </c>
      <c r="D13" s="852">
        <f>IF(ISNUMBER(
   IF(J_V="SI",(Datos!K13-Datos!U13)/Datos!U13,(Datos!K13+Datos!AA13-(Datos!U13+Datos!AI13))/(Datos!U13+Datos!AI13))
     ),IF(J_V="SI",(Datos!K13-Datos!U13)/Datos!U13,(Datos!K13+Datos!AA13-(Datos!U13+Datos!AI13))/(Datos!U13+Datos!AI13))," - ")</f>
        <v>2.4E-2</v>
      </c>
      <c r="E13" s="852">
        <f>IF(ISNUMBER(
   IF(J_V="SI",(Datos!L13-Datos!V13)/Datos!V13,(Datos!L13+Datos!AB13-(Datos!V13+Datos!AJ13))/(Datos!V13+Datos!AJ13))
     ),IF(J_V="SI",(Datos!L13-Datos!V13)/Datos!V13,(Datos!L13+Datos!AB13-(Datos!V13+Datos!AJ13))/(Datos!V13+Datos!AJ13))," - ")</f>
        <v>-0.22925654660379252</v>
      </c>
      <c r="F13" s="853">
        <f>IF(ISNUMBER((Datos!M13-Datos!W13)/Datos!W13),(Datos!M13-Datos!W13)/Datos!W13," - ")</f>
        <v>5.6651814131126674E-2</v>
      </c>
      <c r="G13" s="854">
        <f>IF(ISNUMBER((Datos!N13-Datos!X13)/Datos!X13),(Datos!N13-Datos!X13)/Datos!X13," - ")</f>
        <v>-8.0763582966226141E-2</v>
      </c>
      <c r="H13" s="854">
        <f>IF(ISNUMBER(((NºAsuntos!G13/NºAsuntos!E13)-Datos!BD13)/Datos!BD13),((NºAsuntos!G13/NºAsuntos!E13)-Datos!BD13)/Datos!BD13," - ")</f>
        <v>0.11770994300189991</v>
      </c>
      <c r="I13" s="854">
        <f>IF(ISNUMBER(((NºAsuntos!I13/NºAsuntos!G13)-Datos!BE13)/Datos!BE13),((NºAsuntos!I13/NºAsuntos!G13)-Datos!BE13)/Datos!BE13," - ")</f>
        <v>-0.2473208462927661</v>
      </c>
      <c r="J13" s="854">
        <f>IF(ISNUMBER((('Resol  Asuntos'!D13/NºAsuntos!G13)-Datos!BF13)/Datos!BF13),(('Resol  Asuntos'!D13/NºAsuntos!G13)-Datos!BF13)/Datos!BF13," - ")</f>
        <v>-0.20651309348996577</v>
      </c>
      <c r="K13" s="854">
        <f>IF(ISNUMBER((((NºAsuntos!C13+NºAsuntos!E13)/NºAsuntos!G13)-Datos!BG13)/Datos!BG13),(((NºAsuntos!C13+NºAsuntos!E13)/NºAsuntos!G13)-Datos!BG13)/Datos!BG13," - ")</f>
        <v>-0.16810102909925975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9.3119503362648737E-2</v>
      </c>
      <c r="C15" s="455">
        <f>IF(ISNUMBER(
   IF(D_I="SI",(Datos!J15-Datos!T15)/Datos!T15,(Datos!J15+Datos!AD15-(Datos!T15+Datos!AL15))/(Datos!T15+Datos!AL15))
     ),IF(D_I="SI",(Datos!J15-Datos!T15)/Datos!T15,(Datos!J15+Datos!AD15-(Datos!T15+Datos!AL15))/(Datos!T15+Datos!AL15))," - ")</f>
        <v>7.5318655851680186E-3</v>
      </c>
      <c r="D15" s="455">
        <f>IF(ISNUMBER(
   IF(D_I="SI",(Datos!K15-Datos!U15)/Datos!U15,(Datos!K15+Datos!AE15-(Datos!U15+Datos!AM15))/(Datos!U15+Datos!AM15))
     ),IF(D_I="SI",(Datos!K15-Datos!U15)/Datos!U15,(Datos!K15+Datos!AE15-(Datos!U15+Datos!AM15))/(Datos!U15+Datos!AM15))," - ")</f>
        <v>-3.0666666666666665E-2</v>
      </c>
      <c r="E15" s="455">
        <f>IF(ISNUMBER(
   IF(D_I="SI",(Datos!L15-Datos!V15)/Datos!V15,(Datos!L15+Datos!AF15-(Datos!V15+Datos!AN15))/(Datos!V15+Datos!AN15))
     ),IF(D_I="SI",(Datos!L15-Datos!V15)/Datos!V15,(Datos!L15+Datos!AF15-(Datos!V15+Datos!AN15))/(Datos!V15+Datos!AN15))," - ")</f>
        <v>0.17520858164481526</v>
      </c>
      <c r="F15" s="455">
        <f>IF(ISNUMBER((Datos!M15-Datos!W15)/Datos!W15),(Datos!M15-Datos!W15)/Datos!W15," - ")</f>
        <v>-8.4210526315789472E-2</v>
      </c>
      <c r="G15" s="456">
        <f>IF(ISNUMBER((Datos!N15-Datos!X15)/Datos!X15),(Datos!N15-Datos!X15)/Datos!X15," - ")</f>
        <v>-2.1035598705501618E-2</v>
      </c>
      <c r="H15" s="454">
        <f>IF(ISNUMBER(((NºAsuntos!G15/NºAsuntos!E15)-Datos!BD15)/Datos!BD15),((NºAsuntos!G15/NºAsuntos!E15)-Datos!BD15)/Datos!BD15," - ")</f>
        <v>-3.7912976806593772E-2</v>
      </c>
      <c r="I15" s="455">
        <f>IF(ISNUMBER(((NºAsuntos!I15/NºAsuntos!G15)-Datos!BE15)/Datos!BE15),((NºAsuntos!I15/NºAsuntos!G15)-Datos!BE15)/Datos!BE15," - ")</f>
        <v>0.21238849550703087</v>
      </c>
      <c r="J15" s="460">
        <f>IF(ISNUMBER((('Resol  Asuntos'!D15/NºAsuntos!G15)-Datos!BF15)/Datos!BF15),(('Resol  Asuntos'!D15/NºAsuntos!G15)-Datos!BF15)/Datos!BF15," - ")</f>
        <v>-5.5237819445449921E-2</v>
      </c>
      <c r="K15" s="461">
        <f>IF(ISNUMBER((((NºAsuntos!C15+NºAsuntos!E15)/NºAsuntos!G15)-Datos!BG15)/Datos!BG15),(((NºAsuntos!C15+NºAsuntos!E15)/NºAsuntos!G15)-Datos!BG15)/Datos!BG15," - ")</f>
        <v>7.1101523795657331E-2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f>IF(ISNUMBER(
   IF(D_I="SI",(Datos!L17-Datos!V17)/Datos!V17,(Datos!L17+Datos!AF17-(Datos!V17+Datos!AN17))/(Datos!V17+Datos!AN17))
     ),IF(D_I="SI",(Datos!L17-Datos!V17)/Datos!V17,(Datos!L17+Datos!AF17-(Datos!V17+Datos!AN17))/(Datos!V17+Datos!AN17))," - ")</f>
        <v>-1</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-0.66666666666666663</v>
      </c>
      <c r="C18" s="455" t="str">
        <f>IF(ISNUMBER(
   IF(D_I="SI",(Datos!J18-Datos!T18)/Datos!T18,(Datos!J18+Datos!AD18-(Datos!T18+Datos!AL18))/(Datos!T18+Datos!AL18))
     ),IF(D_I="SI",(Datos!J18-Datos!T18)/Datos!T18,(Datos!J18+Datos!AD18-(Datos!T18+Datos!AL18))/(Datos!T18+Datos!AL18))," - ")</f>
        <v xml:space="preserve"> - </v>
      </c>
      <c r="D18" s="455" t="str">
        <f>IF(ISNUMBER(
   IF(D_I="SI",(Datos!K18-Datos!U18)/Datos!U18,(Datos!K18+Datos!AE18-(Datos!U18+Datos!AM18))/(Datos!U18+Datos!AM18))
     ),IF(D_I="SI",(Datos!K18-Datos!U18)/Datos!U18,(Datos!K18+Datos!AE18-(Datos!U18+Datos!AM18))/(Datos!U18+Datos!AM18))," - ")</f>
        <v xml:space="preserve"> - </v>
      </c>
      <c r="E18" s="455">
        <f>IF(ISNUMBER(
   IF(D_I="SI",(Datos!L18-Datos!V18)/Datos!V18,(Datos!L18+Datos!AF18-(Datos!V18+Datos!AN18))/(Datos!V18+Datos!AN18))
     ),IF(D_I="SI",(Datos!L18-Datos!V18)/Datos!V18,(Datos!L18+Datos!AF18-(Datos!V18+Datos!AN18))/(Datos!V18+Datos!AN18))," - ")</f>
        <v>-0.66666666666666663</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9.1516709511568123E-2</v>
      </c>
      <c r="C19" s="852">
        <f>IF(ISNUMBER(
   IF(Criterios!B14="SI",(Datos!J19-Datos!T19)/Datos!T19,(Datos!J19+Datos!AD19-(Datos!T19+Datos!AL19))/(Datos!T19+Datos!AL19))
     ),IF(Criterios!B14="SI",(Datos!J19-Datos!T19)/Datos!T19,(Datos!J19+Datos!AD19-(Datos!T19+Datos!AL19))/(Datos!T19+Datos!AL19))," - ")</f>
        <v>7.5318655851680186E-3</v>
      </c>
      <c r="D19" s="852">
        <f>IF(ISNUMBER(
   IF(Criterios!B14="SI",(Datos!K19-Datos!U19)/Datos!U19,(Datos!K19+Datos!AE19-(Datos!U19+Datos!AM19))/(Datos!U19+Datos!AM19))
     ),IF(Criterios!B14="SI",(Datos!K19-Datos!U19)/Datos!U19,(Datos!K19+Datos!AE19-(Datos!U19+Datos!AM19))/(Datos!U19+Datos!AM19))," - ")</f>
        <v>-3.0666666666666665E-2</v>
      </c>
      <c r="E19" s="852">
        <f>IF(ISNUMBER(
   IF(Criterios!B14="SI",(Datos!L19-Datos!V19)/Datos!V19,(Datos!L19+Datos!AF19-(Datos!V19+Datos!AN19))/(Datos!V19+Datos!AN19))
     ),IF(Criterios!B14="SI",(Datos!L19-Datos!V19)/Datos!V19,(Datos!L19+Datos!AF19-(Datos!V19+Datos!AN19))/(Datos!V19+Datos!AN19))," - ")</f>
        <v>0.16745562130177516</v>
      </c>
      <c r="F19" s="853">
        <f>IF(ISNUMBER((Datos!M19-Datos!W19)/Datos!W19),(Datos!M19-Datos!W19)/Datos!W19," - ")</f>
        <v>-8.4210526315789472E-2</v>
      </c>
      <c r="G19" s="854">
        <f>IF(ISNUMBER((Datos!N19-Datos!X19)/Datos!X19),(Datos!N19-Datos!X19)/Datos!X19," - ")</f>
        <v>-2.1035598705501618E-2</v>
      </c>
      <c r="H19" s="854">
        <f>IF(ISNUMBER(((NºAsuntos!G19/NºAsuntos!E19)-Datos!BD19)/Datos!BD19),((NºAsuntos!G19/NºAsuntos!E19)-Datos!BD19)/Datos!BD19," - ")</f>
        <v>-3.7912976806593772E-2</v>
      </c>
      <c r="I19" s="854">
        <f>IF(ISNUMBER(((NºAsuntos!I19/NºAsuntos!G19)-Datos!BE19)/Datos!BE19),((NºAsuntos!I19/NºAsuntos!G19)-Datos!BE19)/Datos!BE19," - ")</f>
        <v>0.20439025581338574</v>
      </c>
      <c r="J19" s="854">
        <f>IF(ISNUMBER((('Resol  Asuntos'!D19/NºAsuntos!G19)-Datos!BF19)/Datos!BF19),(('Resol  Asuntos'!D19/NºAsuntos!G19)-Datos!BF19)/Datos!BF19," - ")</f>
        <v>-5.5237819445449921E-2</v>
      </c>
      <c r="K19" s="854">
        <f>IF(ISNUMBER((((NºAsuntos!C19+NºAsuntos!E19)/NºAsuntos!G19)-Datos!BG19)/Datos!BG19),(((NºAsuntos!C19+NºAsuntos!E19)/NºAsuntos!G19)-Datos!BG19)/Datos!BG19," - ")</f>
        <v>7.0631475686094916E-2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-0.1294513220235366</v>
      </c>
      <c r="C20" s="799">
        <f>IF(ISNUMBER(
   IF(J_V="SI",(Datos!J20-Datos!T20)/Datos!T20,(Datos!J20+Datos!Z20-(Datos!T20+Datos!AH20))/(Datos!T20+Datos!AH20))
     ),IF(J_V="SI",(Datos!J20-Datos!T20)/Datos!T20,(Datos!J20+Datos!Z20-(Datos!T20+Datos!AH20))/(Datos!T20+Datos!AH20))," - ")</f>
        <v>-3.8121466879257861E-2</v>
      </c>
      <c r="D20" s="799">
        <f>IF(ISNUMBER(
   IF(J_V="SI",(Datos!K20-Datos!U20)/Datos!U20,(Datos!K20+Datos!AA20-(Datos!U20+Datos!AI20))/(Datos!U20+Datos!AI20))
     ),IF(J_V="SI",(Datos!K20-Datos!U20)/Datos!U20,(Datos!K20+Datos!AA20-(Datos!U20+Datos!AI20))/(Datos!U20+Datos!AI20))," - ")</f>
        <v>-4.7761194029850748E-4</v>
      </c>
      <c r="E20" s="799">
        <f>IF(ISNUMBER(
   IF(J_V="SI",(Datos!L20-Datos!V20)/Datos!V20,(Datos!L20+Datos!AB20-(Datos!V20+Datos!AJ20))/(Datos!V20+Datos!AJ20))
     ),IF(J_V="SI",(Datos!L20-Datos!V20)/Datos!V20,(Datos!L20+Datos!AB20-(Datos!V20+Datos!AJ20))/(Datos!V20+Datos!AJ20))," - ")</f>
        <v>-0.17174230076348976</v>
      </c>
      <c r="F20" s="800">
        <f>IF(ISNUMBER((Datos!M20-Datos!W20)/Datos!W20),(Datos!M20-Datos!W20)/Datos!W20," - ")</f>
        <v>1.9149929939280708E-2</v>
      </c>
      <c r="G20" s="801">
        <f>IF(ISNUMBER((Datos!N20-Datos!X20)/Datos!X20),(Datos!N20-Datos!X20)/Datos!X20," - ")</f>
        <v>-4.8062015503875968E-2</v>
      </c>
      <c r="H20" s="802">
        <f>IF(ISNUMBER((Tasas!B20-Datos!BD20)/Datos!BD20),(Tasas!B20-Datos!BD20)/Datos!BD20," - ")</f>
        <v>3.9135767815533469E-2</v>
      </c>
      <c r="I20" s="803">
        <f>IF(ISNUMBER((Tasas!C20-Datos!BE20)/Datos!BE20),(Tasas!C20-Datos!BE20)/Datos!BE20," - ")</f>
        <v>-0.17134652596992314</v>
      </c>
      <c r="J20" s="804">
        <f>IF(ISNUMBER((Tasas!D20-Datos!BF20)/Datos!BF20),(Tasas!D20-Datos!BF20)/Datos!BF20," - ")</f>
        <v>-0.16454548517623421</v>
      </c>
      <c r="K20" s="804">
        <f>IF(ISNUMBER((Tasas!E20-Datos!BG20)/Datos!BG20),(Tasas!E20-Datos!BG20)/Datos!BG20," - ")</f>
        <v>-9.7492394173183436E-2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crFAKrp1QZKTMhP3Uz09cvTW9KHgJ2tvdEVQHiYMDpg98jwu+ZsDP47eoIOtxw21rkC0mwMV4pKUBW6qlzSTWg==" saltValue="DAjQffntKGvyICNiS/v/W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SANTA CRUZ DE TENERIFE</v>
      </c>
    </row>
    <row r="4" spans="1:7" ht="11.25" customHeight="1" thickBot="1">
      <c r="B4" s="390" t="str">
        <f>Criterios!A11 &amp;"  "&amp;Criterios!B11</f>
        <v>Resumenes por Partidos Judiciales  SAN CRISTOBAL DE LA LAGUNA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1.5884438142502659</v>
      </c>
      <c r="C9" s="442">
        <f>IF(ISNUMBER(NºAsuntos!I9/NºAsuntos!G9),NºAsuntos!I9/NºAsuntos!G9," - ")</f>
        <v>1.5429591609015845</v>
      </c>
      <c r="D9" s="443">
        <f>IF(ISNUMBER('Resol  Asuntos'!D9/NºAsuntos!G9),'Resol  Asuntos'!D9/NºAsuntos!G9," - ")</f>
        <v>0.34746708324034814</v>
      </c>
      <c r="E9" s="444">
        <f>IF(ISNUMBER((NºAsuntos!C9+NºAsuntos!E9)/NºAsuntos!G9),(NºAsuntos!C9+NºAsuntos!E9)/NºAsuntos!G9," - ")</f>
        <v>2.5449676411515285</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f>IF(ISNUMBER(NºAsuntos!G11/NºAsuntos!E11),NºAsuntos!G11/NºAsuntos!E11," - ")</f>
        <v>0.75667655786350152</v>
      </c>
      <c r="C11" s="442">
        <f>IF(ISNUMBER(NºAsuntos!I11/NºAsuntos!G11),NºAsuntos!I11/NºAsuntos!G11," - ")</f>
        <v>3.003921568627451</v>
      </c>
      <c r="D11" s="443">
        <f>IF(ISNUMBER('Resol  Asuntos'!D11/NºAsuntos!G11),'Resol  Asuntos'!D11/NºAsuntos!G11," - ")</f>
        <v>0.40392156862745099</v>
      </c>
      <c r="E11" s="444">
        <f>IF(ISNUMBER((NºAsuntos!C11+NºAsuntos!E11)/NºAsuntos!G11),(NºAsuntos!C11+NºAsuntos!E11)/NºAsuntos!G11," - ")</f>
        <v>4.003921568627451</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1.4996833438885371</v>
      </c>
      <c r="C13" s="856">
        <f>IF(ISNUMBER(NºAsuntos!I13/NºAsuntos!G13),NºAsuntos!I13/NºAsuntos!G13," - ")</f>
        <v>1.6220439189189189</v>
      </c>
      <c r="D13" s="857">
        <f>IF(ISNUMBER('Resol  Asuntos'!D13/NºAsuntos!G13),'Resol  Asuntos'!D13/NºAsuntos!G13," - ")</f>
        <v>0.35050675675675674</v>
      </c>
      <c r="E13" s="858">
        <f>IF(ISNUMBER((NºAsuntos!C13+NºAsuntos!E13)/NºAsuntos!G13),(NºAsuntos!C13+NºAsuntos!E13)/NºAsuntos!G13," - ")</f>
        <v>2.6239442567567566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1.0451408855664175</v>
      </c>
      <c r="C15" s="442">
        <f>IF(ISNUMBER(NºAsuntos!I15/NºAsuntos!G15),NºAsuntos!I15/NºAsuntos!G15," - ")</f>
        <v>0.5425034387895461</v>
      </c>
      <c r="D15" s="443">
        <f>IF(ISNUMBER('Resol  Asuntos'!D15/NºAsuntos!G15),'Resol  Asuntos'!D15/NºAsuntos!G15," - ")</f>
        <v>0.14360385144429161</v>
      </c>
      <c r="E15" s="444">
        <f>IF(ISNUMBER((NºAsuntos!C15+NºAsuntos!E15)/NºAsuntos!G15),(NºAsuntos!C15+NºAsuntos!E15)/NºAsuntos!G15," - ")</f>
        <v>1.5381017881705639</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1.0451408855664175</v>
      </c>
      <c r="C19" s="856">
        <f>IF(ISNUMBER(NºAsuntos!I19/NºAsuntos!G19),NºAsuntos!I19/NºAsuntos!G19," - ")</f>
        <v>0.5427785419532325</v>
      </c>
      <c r="D19" s="859">
        <f>IF(ISNUMBER('Resol  Asuntos'!D19/NºAsuntos!G19),'Resol  Asuntos'!D19/NºAsuntos!G19," - ")</f>
        <v>0.14360385144429161</v>
      </c>
      <c r="E19" s="858">
        <f>IF(ISNUMBER((NºAsuntos!C19+NºAsuntos!E19)/NºAsuntos!G19),(NºAsuntos!C19+NºAsuntos!E19)/NºAsuntos!G19," - ")</f>
        <v>1.5408528198074278</v>
      </c>
      <c r="G19" s="462"/>
    </row>
    <row r="20" spans="1:7" ht="15.75" customHeight="1" thickTop="1" thickBot="1">
      <c r="A20" s="790" t="str">
        <f>Datos!A20</f>
        <v>TOTAL JURISDICCIONES</v>
      </c>
      <c r="B20" s="805">
        <f>IF(ISNUMBER(NºAsuntos!G20/NºAsuntos!E20),NºAsuntos!G20/NºAsuntos!E20," - ")</f>
        <v>1.2614526823387582</v>
      </c>
      <c r="C20" s="806">
        <f>IF(ISNUMBER(NºAsuntos!I20/NºAsuntos!G20),NºAsuntos!I20/NºAsuntos!G20," - ")</f>
        <v>1.1533866921514753</v>
      </c>
      <c r="D20" s="807">
        <f>IF(ISNUMBER('Resol  Asuntos'!D20/NºAsuntos!G20),'Resol  Asuntos'!D20/NºAsuntos!G20," - ")</f>
        <v>0.26066180862501492</v>
      </c>
      <c r="E20" s="808">
        <f>IF(ISNUMBER((NºAsuntos!C20+NºAsuntos!E20)/NºAsuntos!G20),(NºAsuntos!C20+NºAsuntos!E20)/NºAsuntos!G20," - ")</f>
        <v>2.153625612232708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LYFm43Py6x788HZhErLQ+5wKQgM7Wmlm1IbyNM2Fwnru8mZhKqY88N3TfTZqNrsoLgPgglB8vaN8DCBZrTCAtg==" saltValue="QFJOD2wCe6D9weCpk2aNw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SANTA CRUZ DE TENERIFE</v>
      </c>
      <c r="N2" s="261" t="str">
        <f>Criterios!A11 &amp;"  "&amp;Criterios!B11</f>
        <v>Resumenes por Partidos Judiciales  SAN CRISTOBAL DE LA LAGUNA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7</v>
      </c>
      <c r="B9" s="176" t="s">
        <v>247</v>
      </c>
      <c r="C9" s="159" t="str">
        <f>Datos!A9</f>
        <v>Sección Civil del T.I</v>
      </c>
      <c r="D9" s="159"/>
      <c r="E9" s="1020">
        <f>IF(ISNUMBER(Datos!AQ9),Datos!AQ9," - ")</f>
        <v>7</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776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458</v>
      </c>
      <c r="Y9" s="333">
        <f>SUM(W9:X9)</f>
        <v>458</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15206</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1557</v>
      </c>
      <c r="AJ9" s="228" t="str">
        <f>IF(ISNUMBER(Datos!BW9),Datos!BW9," - ")</f>
        <v xml:space="preserve"> - </v>
      </c>
      <c r="AK9" s="227" t="str">
        <f>IF(ISNUMBER(Datos!BX9),Datos!BX9," - ")</f>
        <v xml:space="preserve"> - </v>
      </c>
      <c r="AL9" s="242">
        <f>IF(ISNUMBER(NºAsuntos!G9/NºAsuntos!E9),NºAsuntos!G9/NºAsuntos!E9," - ")</f>
        <v>1.5884438142502659</v>
      </c>
      <c r="AM9" s="259">
        <f>IF(ISNUMBER(((NºAsuntos!I9/NºAsuntos!G9)*11)/factor_trimestre),((NºAsuntos!I9/NºAsuntos!G9)*11)/factor_trimestre," - ")</f>
        <v>4.6288774827047536</v>
      </c>
      <c r="AN9" s="243">
        <f>IF(ISNUMBER('Resol  Asuntos'!D9/NºAsuntos!G9),'Resol  Asuntos'!D9/NºAsuntos!G9," - ")</f>
        <v>0.34746708324034814</v>
      </c>
      <c r="AO9" s="244">
        <f>IF(ISNUMBER((NºAsuntos!C9+NºAsuntos!E9)/NºAsuntos!G9),(NºAsuntos!C9+NºAsuntos!E9)/NºAsuntos!G9," - ")</f>
        <v>2.5449676411515285</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2</v>
      </c>
      <c r="Y10" s="333">
        <f t="shared" ref="Y10:Y12" si="0">SUM(W10:X10)</f>
        <v>2</v>
      </c>
      <c r="Z10" s="334" t="str">
        <f>IF(ISNUMBER(Datos!CC10),Datos!CC10," - ")</f>
        <v xml:space="preserve"> - </v>
      </c>
      <c r="AA10" s="331">
        <f>IF(ISNUMBER(Datos!L10),Datos!L10,"-")</f>
        <v>2</v>
      </c>
      <c r="AB10" s="333">
        <f>IF(ISNUMBER(Datos!R10),Datos!R10," - ")</f>
        <v>64</v>
      </c>
      <c r="AC10" s="333">
        <f t="shared" ref="AC10:AC12" si="1">IF(ISNUMBER(AA10+AB10),AA10+AB10," - ")</f>
        <v>66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v>
      </c>
      <c r="B11" s="274" t="s">
        <v>247</v>
      </c>
      <c r="C11" s="7" t="str">
        <f>Datos!A11</f>
        <v xml:space="preserve">Sección de Familia, infancia y capacidad del TI                           </v>
      </c>
      <c r="D11" s="7"/>
      <c r="E11" s="1020">
        <f>IF(ISNUMBER(Datos!AQ11),Datos!AQ11," - ")</f>
        <v>1</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8</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0</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21</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103</v>
      </c>
      <c r="AJ11" s="230" t="str">
        <f>IF(ISNUMBER(Datos!BW11),Datos!BW11," - ")</f>
        <v xml:space="preserve"> - </v>
      </c>
      <c r="AK11" s="231" t="str">
        <f>IF(ISNUMBER(Datos!BX11),Datos!BX11," - ")</f>
        <v xml:space="preserve"> - </v>
      </c>
      <c r="AL11" s="242">
        <f>IF(ISNUMBER(NºAsuntos!G11/NºAsuntos!E11),NºAsuntos!G11/NºAsuntos!E11," - ")</f>
        <v>0.75667655786350152</v>
      </c>
      <c r="AM11" s="259">
        <f>IF(ISNUMBER(((NºAsuntos!I11/NºAsuntos!G11)*11)/factor_trimestre),((NºAsuntos!I11/NºAsuntos!G11)*11)/factor_trimestre," - ")</f>
        <v>9.0117647058823547</v>
      </c>
      <c r="AN11" s="243">
        <f>IF(ISNUMBER('Resol  Asuntos'!D11/NºAsuntos!G11),'Resol  Asuntos'!D11/NºAsuntos!G11," - ")</f>
        <v>0.40392156862745099</v>
      </c>
      <c r="AO11" s="244">
        <f>IF(ISNUMBER((NºAsuntos!C11+NºAsuntos!E11)/NºAsuntos!G11),(NºAsuntos!C11+NºAsuntos!E11)/NºAsuntos!G11," - ")</f>
        <v>4.003921568627451</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2</v>
      </c>
      <c r="G13" s="863">
        <f t="shared" si="3"/>
        <v>2</v>
      </c>
      <c r="H13" s="862">
        <f t="shared" si="3"/>
        <v>0</v>
      </c>
      <c r="I13" s="864">
        <f t="shared" si="3"/>
        <v>0</v>
      </c>
      <c r="J13" s="864">
        <f t="shared" si="3"/>
        <v>0</v>
      </c>
      <c r="K13" s="864">
        <f t="shared" si="3"/>
        <v>0</v>
      </c>
      <c r="L13" s="864">
        <f t="shared" si="3"/>
        <v>784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460</v>
      </c>
      <c r="Y13" s="865">
        <f t="shared" si="4"/>
        <v>460</v>
      </c>
      <c r="Z13" s="865">
        <f t="shared" si="4"/>
        <v>0</v>
      </c>
      <c r="AA13" s="865">
        <f t="shared" si="4"/>
        <v>2</v>
      </c>
      <c r="AB13" s="865">
        <f t="shared" si="4"/>
        <v>15291</v>
      </c>
      <c r="AC13" s="865">
        <f t="shared" si="4"/>
        <v>66</v>
      </c>
      <c r="AD13" s="865">
        <f t="shared" si="4"/>
        <v>0</v>
      </c>
      <c r="AE13" s="869">
        <f t="shared" si="4"/>
        <v>0</v>
      </c>
      <c r="AF13" s="862">
        <f t="shared" si="4"/>
        <v>0</v>
      </c>
      <c r="AG13" s="870">
        <f t="shared" si="4"/>
        <v>0</v>
      </c>
      <c r="AH13" s="867">
        <f t="shared" si="4"/>
        <v>0</v>
      </c>
      <c r="AI13" s="862">
        <f t="shared" si="4"/>
        <v>1660</v>
      </c>
      <c r="AJ13" s="864">
        <f t="shared" si="4"/>
        <v>0</v>
      </c>
      <c r="AK13" s="867">
        <f>SUBTOTAL(9,AK9:AK12)</f>
        <v>0</v>
      </c>
      <c r="AL13" s="871">
        <f>IF(ISNUMBER(NºAsuntos!G13/NºAsuntos!E13),NºAsuntos!G13/NºAsuntos!E13," - ")</f>
        <v>1.4996833438885371</v>
      </c>
      <c r="AM13" s="871">
        <f>IF(ISNUMBER(((NºAsuntos!I13/NºAsuntos!G13)*11)/factor_trimestre),((NºAsuntos!I13/NºAsuntos!G13)*11)/factor_trimestre," - ")</f>
        <v>4.866131756756757</v>
      </c>
      <c r="AN13" s="872">
        <f>IF(ISNUMBER('Resol  Asuntos'!D13/NºAsuntos!G13),'Resol  Asuntos'!D13/NºAsuntos!G13," - ")</f>
        <v>0.35050675675675674</v>
      </c>
      <c r="AO13" s="873">
        <f>IF(ISNUMBER((NºAsuntos!C13+NºAsuntos!E13)/NºAsuntos!G13),(NºAsuntos!C13+NºAsuntos!E13)/NºAsuntos!G13," - ")</f>
        <v>2.6239442567567566</v>
      </c>
      <c r="AP13" s="874" t="str">
        <f t="shared" si="2"/>
        <v xml:space="preserve"> - </v>
      </c>
      <c r="AQ13" s="874">
        <f>IF(ISNUMBER((H13-W13+K13)/(F13)),(H13-W13+K13)/(F13)," - ")</f>
        <v>0</v>
      </c>
      <c r="AR13" s="875">
        <f>IF(ISNUMBER((Datos!P13-Datos!Q13)/(Datos!R13-Datos!P13+Datos!Q13)),(Datos!P13-Datos!Q13)/(Datos!R13-Datos!P13+Datos!Q13)," - ")</f>
        <v>2.164762477450391E-2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2129</v>
      </c>
      <c r="G15" s="332">
        <f>IF(ISNUMBER(IF(D_I="SI",Datos!I15,Datos!I15+Datos!AC15)),IF(D_I="SI",Datos!I15,Datos!I15+Datos!AC15)," - ")</f>
        <v>2113</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127</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3635</v>
      </c>
      <c r="X15" s="225">
        <f>IF(ISNUMBER(Datos!Q15),Datos!Q15," - ")</f>
        <v>221</v>
      </c>
      <c r="Y15" s="333">
        <f>SUM(W15)</f>
        <v>3635</v>
      </c>
      <c r="Z15" s="334" t="str">
        <f>IF(ISNUMBER(Datos!CC15),Datos!CC15," - ")</f>
        <v xml:space="preserve"> - </v>
      </c>
      <c r="AA15" s="331">
        <f>IF(ISNUMBER(IF(D_I="SI",Datos!L15,Datos!L15+Datos!AF15)),IF(D_I="SI",Datos!L15,Datos!L15+Datos!AF15)," - ")</f>
        <v>1972</v>
      </c>
      <c r="AB15" s="333">
        <f>IF(ISNUMBER(Datos!R15),Datos!R15," - ")</f>
        <v>414</v>
      </c>
      <c r="AC15" s="333">
        <f t="shared" ref="AC15:AC18" si="6">IF(ISNUMBER(AA15+AB15),AA15+AB15," - ")</f>
        <v>2386</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522</v>
      </c>
      <c r="AJ15" s="230" t="str">
        <f>IF(ISNUMBER(Datos!BW15),Datos!BW15," - ")</f>
        <v xml:space="preserve"> - </v>
      </c>
      <c r="AK15" s="231" t="str">
        <f>IF(ISNUMBER(Datos!BX15),Datos!BX15," - ")</f>
        <v xml:space="preserve"> - </v>
      </c>
      <c r="AL15" s="242">
        <f>IF(ISNUMBER(NºAsuntos!G15/NºAsuntos!E15),NºAsuntos!G15/NºAsuntos!E15," - ")</f>
        <v>1.0451408855664175</v>
      </c>
      <c r="AM15" s="259">
        <f>IF(ISNUMBER(((NºAsuntos!I15/NºAsuntos!G15)*11)/factor_trimestre),((NºAsuntos!I15/NºAsuntos!G15)*11)/factor_trimestre," - ")</f>
        <v>1.6275103163686382</v>
      </c>
      <c r="AN15" s="243">
        <f>IF(ISNUMBER('Resol  Asuntos'!D15/NºAsuntos!G15),'Resol  Asuntos'!D15/NºAsuntos!G15," - ")</f>
        <v>0.14360385144429161</v>
      </c>
      <c r="AO15" s="244">
        <f>IF(ISNUMBER((NºAsuntos!C15+NºAsuntos!E15)/NºAsuntos!G15),(NºAsuntos!C15+NºAsuntos!E15)/NºAsuntos!G15," - ")</f>
        <v>1.5381017881705639</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f>IF(ISNUMBER(AA17+W17-Datos!J17-K17),AA17+W17-Datos!J17-K17," - ")</f>
        <v>0</v>
      </c>
      <c r="G17" s="332">
        <f>IF(ISNUMBER(IF(D_I="SI",Datos!I17,Datos!I17+Datos!AC17)),IF(D_I="SI",Datos!I17,Datos!I17+Datos!AC17)," - ")</f>
        <v>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0</v>
      </c>
      <c r="X17" s="225">
        <f>IF(ISNUMBER(Datos!Q17),Datos!Q17," - ")</f>
        <v>0</v>
      </c>
      <c r="Y17" s="333">
        <f t="shared" ref="Y17:Y18" si="9">SUM(W17:X17)</f>
        <v>0</v>
      </c>
      <c r="Z17" s="334" t="str">
        <f>IF(ISNUMBER(Datos!CC17),Datos!CC17," - ")</f>
        <v xml:space="preserve"> - </v>
      </c>
      <c r="AA17" s="331">
        <f>IF(ISNUMBER(IF(D_I="SI",Datos!L17,Datos!L17+Datos!AF17)),IF(D_I="SI",Datos!L17,Datos!L17+Datos!AF17)," - ")</f>
        <v>0</v>
      </c>
      <c r="AB17" s="333">
        <f>IF(ISNUMBER(Datos!R17),Datos!R17," - ")</f>
        <v>0</v>
      </c>
      <c r="AC17" s="333">
        <f t="shared" si="6"/>
        <v>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0</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1</v>
      </c>
      <c r="AB18" s="333">
        <f>IF(ISNUMBER(Datos!R18),Datos!R18," - ")</f>
        <v>0</v>
      </c>
      <c r="AC18" s="333">
        <f t="shared" si="6"/>
        <v>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2129</v>
      </c>
      <c r="G19" s="863">
        <f>SUBTOTAL(9,G15:G18)</f>
        <v>2123</v>
      </c>
      <c r="H19" s="862">
        <f t="shared" ref="H19:O19" si="12">SUBTOTAL(9,H14:H18)</f>
        <v>0</v>
      </c>
      <c r="I19" s="864">
        <f t="shared" si="12"/>
        <v>0</v>
      </c>
      <c r="J19" s="864">
        <f t="shared" si="12"/>
        <v>0</v>
      </c>
      <c r="K19" s="864">
        <f t="shared" si="12"/>
        <v>0</v>
      </c>
      <c r="L19" s="864">
        <f t="shared" si="12"/>
        <v>127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3635</v>
      </c>
      <c r="X19" s="864">
        <f t="shared" si="13"/>
        <v>221</v>
      </c>
      <c r="Y19" s="865">
        <f t="shared" si="13"/>
        <v>3635</v>
      </c>
      <c r="Z19" s="865">
        <f t="shared" si="13"/>
        <v>0</v>
      </c>
      <c r="AA19" s="865">
        <f t="shared" si="13"/>
        <v>1973</v>
      </c>
      <c r="AB19" s="865">
        <f t="shared" si="13"/>
        <v>414</v>
      </c>
      <c r="AC19" s="865">
        <f t="shared" si="13"/>
        <v>2387</v>
      </c>
      <c r="AD19" s="865">
        <f t="shared" si="13"/>
        <v>0</v>
      </c>
      <c r="AE19" s="869">
        <f t="shared" si="13"/>
        <v>0</v>
      </c>
      <c r="AF19" s="862">
        <f t="shared" si="13"/>
        <v>0</v>
      </c>
      <c r="AG19" s="870">
        <f t="shared" si="13"/>
        <v>0</v>
      </c>
      <c r="AH19" s="867">
        <f t="shared" si="13"/>
        <v>0</v>
      </c>
      <c r="AI19" s="862">
        <f t="shared" si="13"/>
        <v>522</v>
      </c>
      <c r="AJ19" s="864">
        <f t="shared" si="13"/>
        <v>0</v>
      </c>
      <c r="AK19" s="867">
        <f t="shared" si="13"/>
        <v>0</v>
      </c>
      <c r="AL19" s="871">
        <f>IF(ISNUMBER(NºAsuntos!G19/NºAsuntos!E19),NºAsuntos!G19/NºAsuntos!E19," - ")</f>
        <v>1.0451408855664175</v>
      </c>
      <c r="AM19" s="871">
        <f>IF(ISNUMBER(((NºAsuntos!I19/NºAsuntos!G19)*11)/factor_trimestre),((NºAsuntos!I19/NºAsuntos!G19)*11)/factor_trimestre," - ")</f>
        <v>1.6283356258596975</v>
      </c>
      <c r="AN19" s="872">
        <f>IF(ISNUMBER('Resol  Asuntos'!D19/NºAsuntos!G19),'Resol  Asuntos'!D19/NºAsuntos!G19," - ")</f>
        <v>0.14360385144429161</v>
      </c>
      <c r="AO19" s="873">
        <f>IF(ISNUMBER((NºAsuntos!C19+NºAsuntos!E19)/NºAsuntos!G19),(NºAsuntos!C19+NºAsuntos!E19)/NºAsuntos!G19," - ")</f>
        <v>1.5408528198074278</v>
      </c>
      <c r="AP19" s="874" t="str">
        <f t="shared" si="2"/>
        <v xml:space="preserve"> - </v>
      </c>
      <c r="AQ19" s="874">
        <f>IF(ISNUMBER((H19-W19+K19)/(F19)),(H19-W19+K19)/(F19)," - ")</f>
        <v>-1.7073743541568811</v>
      </c>
      <c r="AR19" s="875">
        <f>IF(ISNUMBER((Datos!P19-Datos!Q19)/(Datos!R19-Datos!P19+Datos!Q19)),(Datos!P19-Datos!Q19)/(Datos!R19-Datos!P19+Datos!Q19)," - ")</f>
        <v>-0.18503937007874016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2131</v>
      </c>
      <c r="G20" s="818">
        <f t="shared" si="15"/>
        <v>2125</v>
      </c>
      <c r="H20" s="817">
        <f t="shared" si="15"/>
        <v>0</v>
      </c>
      <c r="I20" s="819">
        <f t="shared" si="15"/>
        <v>0</v>
      </c>
      <c r="J20" s="819">
        <f t="shared" si="15"/>
        <v>0</v>
      </c>
      <c r="K20" s="878">
        <f t="shared" si="15"/>
        <v>0</v>
      </c>
      <c r="L20" s="819">
        <f t="shared" si="15"/>
        <v>911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3635</v>
      </c>
      <c r="X20" s="818">
        <f t="shared" si="16"/>
        <v>681</v>
      </c>
      <c r="Y20" s="825">
        <f t="shared" si="16"/>
        <v>4095</v>
      </c>
      <c r="Z20" s="825">
        <f t="shared" si="16"/>
        <v>0</v>
      </c>
      <c r="AA20" s="825">
        <f t="shared" si="16"/>
        <v>1975</v>
      </c>
      <c r="AB20" s="825">
        <f t="shared" si="16"/>
        <v>15705</v>
      </c>
      <c r="AC20" s="825">
        <f t="shared" si="16"/>
        <v>2453</v>
      </c>
      <c r="AD20" s="825">
        <f t="shared" si="16"/>
        <v>0</v>
      </c>
      <c r="AE20" s="827">
        <f t="shared" si="16"/>
        <v>0</v>
      </c>
      <c r="AF20" s="828">
        <f t="shared" si="16"/>
        <v>0</v>
      </c>
      <c r="AG20" s="829">
        <f t="shared" si="16"/>
        <v>0</v>
      </c>
      <c r="AH20" s="827">
        <f t="shared" si="16"/>
        <v>0</v>
      </c>
      <c r="AI20" s="817">
        <f t="shared" si="16"/>
        <v>2182</v>
      </c>
      <c r="AJ20" s="817">
        <f t="shared" si="16"/>
        <v>0</v>
      </c>
      <c r="AK20" s="827">
        <f t="shared" si="16"/>
        <v>0</v>
      </c>
      <c r="AL20" s="881">
        <f>IF(ISNUMBER(NºAsuntos!G20/NºAsuntos!E20),NºAsuntos!G20/NºAsuntos!E20," - ")</f>
        <v>1.2614526823387582</v>
      </c>
      <c r="AM20" s="882">
        <f>IF(ISNUMBER(((NºAsuntos!I20/NºAsuntos!G20)*11)/factor_trimestre),((NºAsuntos!I20/NºAsuntos!G20)*11)/factor_trimestre," - ")</f>
        <v>3.4601600764544256</v>
      </c>
      <c r="AN20" s="882">
        <f>IF(ISNUMBER('Resol  Asuntos'!D20/NºAsuntos!G20),'Resol  Asuntos'!D20/NºAsuntos!G20," - ")</f>
        <v>0.26066180862501492</v>
      </c>
      <c r="AO20" s="883">
        <f>IF(ISNUMBER((NºAsuntos!C20+NºAsuntos!E20)/NºAsuntos!G20),(NºAsuntos!C20+NºAsuntos!E20)/NºAsuntos!G20," - ")</f>
        <v>2.153625612232708</v>
      </c>
      <c r="AP20" s="884" t="str">
        <f t="shared" si="2"/>
        <v xml:space="preserve"> - </v>
      </c>
      <c r="AQ20" s="885">
        <f>IF(OR(ISNUMBER(FIND("01",Criterios!A8,1)),ISNUMBER(FIND("02",Criterios!A8,1)),ISNUMBER(FIND("03",Criterios!A8,1)),ISNUMBER(FIND("04",Criterios!A8,1))),(I20-W20+K20)/(F20-K20),(H20-W20+K20)/(F20-K20))</f>
        <v>-1.70577193805725</v>
      </c>
      <c r="AR20" s="886">
        <f>IF(ISNUMBER((Datos!P20-Datos!Q20)/(Datos!R20-Datos!P20+Datos!Q20)),(Datos!P20-Datos!Q20)/(Datos!R20-Datos!P20+Datos!Q20)," - ")</f>
        <v>1.4862681744749596E-2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708.33333333333337</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3.1340424729448424</v>
      </c>
      <c r="F22" s="251">
        <f>IF(ISNUMBER(STDEV(F8:F19)),STDEV(F8:F19),"-")</f>
        <v>1165.3713142170611</v>
      </c>
      <c r="G22" s="252">
        <f>IF(ISNUMBER(STDEV(G8:G19)),STDEV(G8:G19),"-")</f>
        <v>1091.9314386291232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1877.1059284618614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692.29060784780677</v>
      </c>
      <c r="AJ22" s="251">
        <f t="shared" si="20"/>
        <v>0</v>
      </c>
      <c r="AK22" s="253">
        <f t="shared" si="20"/>
        <v>0</v>
      </c>
      <c r="AL22" s="248">
        <f t="shared" si="20"/>
        <v>0.34797783321336573</v>
      </c>
      <c r="AM22" s="249">
        <f t="shared" si="20"/>
        <v>3.03708700913944</v>
      </c>
      <c r="AN22" s="249">
        <f t="shared" si="20"/>
        <v>0.12456287115983571</v>
      </c>
      <c r="AO22" s="250">
        <f t="shared" si="20"/>
        <v>1.0139100062774156</v>
      </c>
      <c r="AP22" s="290" t="str">
        <f t="shared" si="20"/>
        <v>-</v>
      </c>
      <c r="AQ22" s="291">
        <f t="shared" si="20"/>
        <v>1.2072959838483326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7K0D41EiB3/KOgZAVnYpaKyBGQWXH14zWpOOFk6AqACIrg9KUA3iKW4YFFFVh/FdvEHa+qOpLlnV4ltqVts0LQ==" saltValue="V5qOKkROvGfDbERct1vxW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SANTA CRUZ DE TENERIFE</v>
      </c>
      <c r="E3" s="262"/>
    </row>
    <row r="4" spans="2:20" ht="17.25" customHeight="1" thickBot="1">
      <c r="D4" s="261" t="str">
        <f>Criterios!A11 &amp;"  "&amp;Criterios!B11</f>
        <v>Resumenes por Partidos Judiciales  SAN CRISTOBAL DE LA LAGUNA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7.379310344827586E-2</v>
      </c>
      <c r="I9" s="349">
        <f>IF(ISNUMBER((Tasas!C9-Datos!BE9)/Datos!BE9),(Tasas!C9-Datos!BE9)/Datos!BE9," - ")</f>
        <v>-0.2830678187002022</v>
      </c>
      <c r="J9" s="348">
        <f>IF(ISNUMBER((Tasas!D9-Datos!BF9)/Datos!BF9),(Tasas!D9-Datos!BF9)/Datos!BF9," - ")</f>
        <v>-0.21922945761825841</v>
      </c>
      <c r="K9" s="350">
        <f>IF(ISNUMBER((Tasas!E9-Datos!BG9)/Datos!BG9),(Tasas!E9-Datos!BG9)/Datos!BG9," - ")</f>
        <v>-0.19239446376568023</v>
      </c>
      <c r="M9" t="e">
        <f>IF(Monitorios="SI",Datos!CE9,0)</f>
        <v>#REF!</v>
      </c>
      <c r="N9" t="e">
        <f>IF(Monitorios="SI",Datos!CF9,0)</f>
        <v>#REF!</v>
      </c>
      <c r="O9" t="e">
        <f>IF(Monitorios="SI",Datos!CG9,0)</f>
        <v>#REF!</v>
      </c>
      <c r="P9" t="e">
        <f>IF(Monitorios="SI",Datos!CH9,0)</f>
        <v>#REF!</v>
      </c>
      <c r="Q9">
        <f>IF(J_V="SI",0,Datos!AG9)</f>
        <v>99</v>
      </c>
      <c r="R9">
        <f>IF(J_V="SI",0,Datos!AH9)</f>
        <v>124</v>
      </c>
      <c r="S9">
        <f>IF(J_V="SI",0,Datos!AI9)</f>
        <v>106</v>
      </c>
      <c r="T9">
        <f>IF(J_V="SI",0,Datos!AJ9)</f>
        <v>117</v>
      </c>
    </row>
    <row r="10" spans="2:20" ht="14.25">
      <c r="B10" s="274" t="s">
        <v>247</v>
      </c>
      <c r="C10" s="7" t="str">
        <f>Datos!A10</f>
        <v>Sección De Violencia sobre la Mujer del TI</v>
      </c>
      <c r="D10" s="351">
        <f>IF(ISNUMBER((Datos!I10-Datos!S10)/Datos!S10),(Datos!I10-Datos!S10)/Datos!S10," - ")</f>
        <v>-0.8</v>
      </c>
      <c r="E10" s="347">
        <f>IF(ISNUMBER((Datos!J10-Datos!T10)/Datos!T10),(Datos!J10-Datos!T10)/Datos!T10," - ")</f>
        <v>-1</v>
      </c>
      <c r="F10" s="347">
        <f>IF(ISNUMBER((Datos!K10-Datos!U10)/Datos!U10),(Datos!K10-Datos!U10)/Datos!U10," - ")</f>
        <v>-1</v>
      </c>
      <c r="G10" s="348">
        <f>IF(ISNUMBER((Datos!L10-Datos!V10)/Datos!V10),(Datos!L10-Datos!V10)/Datos!V10," - ")</f>
        <v>-0.8</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-0.1487603305785124</v>
      </c>
      <c r="I11" s="349">
        <f>IF(ISNUMBER((Tasas!C11-Datos!BE11)/Datos!BE11),(Tasas!C11-Datos!BE11)/Datos!BE11," - ")</f>
        <v>0.38283975659229208</v>
      </c>
      <c r="J11" s="348">
        <f>IF(ISNUMBER((Tasas!D11-Datos!BF11)/Datos!BF11),(Tasas!D11-Datos!BF11)/Datos!BF11," - ")</f>
        <v>3.6990950226244344E-2</v>
      </c>
      <c r="K11" s="350">
        <f>IF(ISNUMBER((Tasas!E11-Datos!BG11)/Datos!BG11),(Tasas!E11-Datos!BG11)/Datos!BG11," - ")</f>
        <v>0.26215709424265576</v>
      </c>
      <c r="M11" t="e">
        <f>IF(Monitorios="SI",Datos!CE11,0)</f>
        <v>#REF!</v>
      </c>
      <c r="N11" t="e">
        <f>IF(Monitorios="SI",Datos!CF11,0)</f>
        <v>#REF!</v>
      </c>
      <c r="O11" t="e">
        <f>IF(Monitorios="SI",Datos!CG11,0)</f>
        <v>#REF!</v>
      </c>
      <c r="P11" t="e">
        <f>IF(Monitorios="SI",Datos!CH11,0)</f>
        <v>#REF!</v>
      </c>
      <c r="Q11">
        <f>IF(J_V="SI",0,Datos!AG11)</f>
        <v>61</v>
      </c>
      <c r="R11">
        <f>IF(J_V="SI",0,Datos!AH11)</f>
        <v>50</v>
      </c>
      <c r="S11">
        <f>IF(J_V="SI",0,Datos!AI11)</f>
        <v>51</v>
      </c>
      <c r="T11">
        <f>IF(J_V="SI",0,Datos!AJ11)</f>
        <v>60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5.6651814131126674E-2</v>
      </c>
      <c r="I13" s="356">
        <f>IF(ISNUMBER((Tasas!C13-Datos!BE13)/Datos!BE13),(Tasas!C13-Datos!BE13)/Datos!BE13," - ")</f>
        <v>-0.2473208462927661</v>
      </c>
      <c r="J13" s="354">
        <f>IF(ISNUMBER((Tasas!D13-Datos!BF13)/Datos!BF13),(Tasas!D13-Datos!BF13)/Datos!BF13," - ")</f>
        <v>-0.20651309348996577</v>
      </c>
      <c r="K13" s="357">
        <f>IF(ISNUMBER((Tasas!E13-Datos!BG13)/Datos!BG13),(Tasas!E13-Datos!BG13)/Datos!BG13," - ")</f>
        <v>-0.16810102909925975</v>
      </c>
      <c r="M13" t="e">
        <f>IF(Monitorios="SI",Datos!CE13,0)</f>
        <v>#REF!</v>
      </c>
      <c r="N13" t="e">
        <f>IF(Monitorios="SI",Datos!CF13,0)</f>
        <v>#REF!</v>
      </c>
      <c r="O13" t="e">
        <f>IF(Monitorios="SI",Datos!CG13,0)</f>
        <v>#REF!</v>
      </c>
      <c r="P13" t="e">
        <f>IF(Monitorios="SI",Datos!CH13,0)</f>
        <v>#REF!</v>
      </c>
      <c r="Q13">
        <f>IF(J_V="SI",0,Datos!AG13)</f>
        <v>160</v>
      </c>
      <c r="R13">
        <f>IF(J_V="SI",0,Datos!AH13)</f>
        <v>174</v>
      </c>
      <c r="S13">
        <f>IF(J_V="SI",0,Datos!AI13)</f>
        <v>157</v>
      </c>
      <c r="T13">
        <f>IF(J_V="SI",0,Datos!AJ13)</f>
        <v>177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9.3119503362648737E-2</v>
      </c>
      <c r="E15" s="347">
        <f>IF(ISNUMBER(
   IF(D_I="SI",(Datos!J15-Datos!T15)/Datos!T15,(Datos!J15+Datos!AD15-(Datos!T15+Datos!AL15))/(Datos!T15+Datos!AL15))
     ),IF(D_I="SI",(Datos!J15-Datos!T15)/Datos!T15,(Datos!J15+Datos!AD15-(Datos!T15+Datos!AL15))/(Datos!T15+Datos!AL15))," - ")</f>
        <v>7.5318655851680186E-3</v>
      </c>
      <c r="F15" s="347">
        <f>IF(ISNUMBER(
   IF(D_I="SI",(Datos!K15-Datos!U15)/Datos!U15,(Datos!K15+Datos!AE15-(Datos!U15+Datos!AM15))/(Datos!U15+Datos!AM15))
     ),IF(D_I="SI",(Datos!K15-Datos!U15)/Datos!U15,(Datos!K15+Datos!AE15-(Datos!U15+Datos!AM15))/(Datos!U15+Datos!AM15))," - ")</f>
        <v>-3.0666666666666665E-2</v>
      </c>
      <c r="G15" s="348">
        <f>IF(ISNUMBER(
   IF(D_I="SI",(Datos!L15-Datos!V15)/Datos!V15,(Datos!L15+Datos!AF15-(Datos!V15+Datos!AN15))/(Datos!V15+Datos!AN15))
     ),IF(D_I="SI",(Datos!L15-Datos!V15)/Datos!V15,(Datos!L15+Datos!AF15-(Datos!V15+Datos!AN15))/(Datos!V15+Datos!AN15))," - ")</f>
        <v>0.17520858164481526</v>
      </c>
      <c r="H15" s="229">
        <f>IF(ISNUMBER((Datos!M15-Datos!W15)/Datos!W15),(Datos!M15-Datos!W15)/Datos!W15," - ")</f>
        <v>-8.4210526315789472E-2</v>
      </c>
      <c r="I15" s="349">
        <f>IF(ISNUMBER((Tasas!C15-Datos!BE15)/Datos!BE15),(Tasas!C15-Datos!BE15)/Datos!BE15," - ")</f>
        <v>0.21238849550703087</v>
      </c>
      <c r="J15" s="348">
        <f>IF(ISNUMBER((Tasas!D15-Datos!BF15)/Datos!BF15),(Tasas!D15-Datos!BF15)/Datos!BF15," - ")</f>
        <v>-5.5237819445449921E-2</v>
      </c>
      <c r="K15" s="350">
        <f>IF(ISNUMBER((Tasas!E15-Datos!BG15)/Datos!BG15),(Tasas!E15-Datos!BG15)/Datos!BG15," - ")</f>
        <v>7.1101523795657331E-2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f>IF(ISNUMBER(
   IF(D_I="SI",(Datos!L17-Datos!V17)/Datos!V17,(Datos!L17+Datos!AF17-(Datos!V17+Datos!AN17))/(Datos!V17+Datos!AN17))
     ),IF(D_I="SI",(Datos!L17-Datos!V17)/Datos!V17,(Datos!L17+Datos!AF17-(Datos!V17+Datos!AN17))/(Datos!V17+Datos!AN17))," - ")</f>
        <v>-1</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-0.66666666666666663</v>
      </c>
      <c r="E18" s="347" t="str">
        <f>IF(ISNUMBER(
   IF(D_I="SI",(Datos!J18-Datos!T18)/Datos!T18,(Datos!J18+Datos!AD18-(Datos!T18+Datos!AL18))/(Datos!T18+Datos!AL18))
     ),IF(D_I="SI",(Datos!J18-Datos!T18)/Datos!T18,(Datos!J18+Datos!AD18-(Datos!T18+Datos!AL18))/(Datos!T18+Datos!AL18))," - ")</f>
        <v xml:space="preserve"> - </v>
      </c>
      <c r="F18" s="347" t="str">
        <f>IF(ISNUMBER(
   IF(D_I="SI",(Datos!K18-Datos!U18)/Datos!U18,(Datos!K18+Datos!AE18-(Datos!U18+Datos!AM18))/(Datos!U18+Datos!AM18))
     ),IF(D_I="SI",(Datos!K18-Datos!U18)/Datos!U18,(Datos!K18+Datos!AE18-(Datos!U18+Datos!AM18))/(Datos!U18+Datos!AM18))," - ")</f>
        <v xml:space="preserve"> - </v>
      </c>
      <c r="G18" s="348">
        <f>IF(ISNUMBER(
   IF(D_I="SI",(Datos!L18-Datos!V18)/Datos!V18,(Datos!L18+Datos!AF18-(Datos!V18+Datos!AN18))/(Datos!V18+Datos!AN18))
     ),IF(D_I="SI",(Datos!L18-Datos!V18)/Datos!V18,(Datos!L18+Datos!AF18-(Datos!V18+Datos!AN18))/(Datos!V18+Datos!AN18))," - ")</f>
        <v>-0.66666666666666663</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9.1516709511568123E-2</v>
      </c>
      <c r="E19" s="353">
        <f>IF(ISNUMBER(
   IF(D_I="SI",(Datos!J19-Datos!T19)/Datos!T19,(Datos!J19+Datos!AD19-(Datos!T19+Datos!AL19))/(Datos!T19+Datos!AL19))
     ),IF(D_I="SI",(Datos!J19-Datos!T19)/Datos!T19,(Datos!J19+Datos!AD19-(Datos!T19+Datos!AL19))/(Datos!T19+Datos!AL19))," - ")</f>
        <v>7.5318655851680186E-3</v>
      </c>
      <c r="F19" s="353">
        <f>IF(ISNUMBER(
   IF(D_I="SI",(Datos!K19-Datos!U19)/Datos!U19,(Datos!K19+Datos!AE19-(Datos!U19+Datos!AM19))/(Datos!U19+Datos!AM19))
     ),IF(D_I="SI",(Datos!K19-Datos!U19)/Datos!U19,(Datos!K19+Datos!AE19-(Datos!U19+Datos!AM19))/(Datos!U19+Datos!AM19))," - ")</f>
        <v>-3.0666666666666665E-2</v>
      </c>
      <c r="G19" s="354">
        <f>IF(ISNUMBER(
   IF(D_I="SI",(Datos!L19-Datos!V19)/Datos!V19,(Datos!L19+Datos!AF19-(Datos!V19+Datos!AN19))/(Datos!V19+Datos!AN19))
     ),IF(D_I="SI",(Datos!L19-Datos!V19)/Datos!V19,(Datos!L19+Datos!AF19-(Datos!V19+Datos!AN19))/(Datos!V19+Datos!AN19))," - ")</f>
        <v>0.16745562130177516</v>
      </c>
      <c r="H19" s="355">
        <f>IF(ISNUMBER((Datos!M19-Datos!W19)/Datos!W19),(Datos!M19-Datos!W19)/Datos!W19," - ")</f>
        <v>-8.4210526315789472E-2</v>
      </c>
      <c r="I19" s="356">
        <f>IF(ISNUMBER((Tasas!C19-Datos!BE19)/Datos!BE19),(Tasas!C19-Datos!BE19)/Datos!BE19," - ")</f>
        <v>0.20439025581338574</v>
      </c>
      <c r="J19" s="354">
        <f>IF(ISNUMBER((Tasas!D19-Datos!BF19)/Datos!BF19),(Tasas!D19-Datos!BF19)/Datos!BF19," - ")</f>
        <v>-5.5237819445449921E-2</v>
      </c>
      <c r="K19" s="357">
        <f>IF(ISNUMBER((Tasas!E19-Datos!BG19)/Datos!BG19),(Tasas!E19-Datos!BG19)/Datos!BG19," - ")</f>
        <v>7.0631475686094916E-2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-0.1294513220235366</v>
      </c>
      <c r="E20" s="362">
        <f>IF(ISNUMBER(
   IF(J_V="SI",(Datos!J20-Datos!T20)/Datos!T20,(Datos!J20+Datos!Z20-(Datos!T20+Datos!AH20))/(Datos!T20+Datos!AH20))
     ),IF(J_V="SI",(Datos!J20-Datos!T20)/Datos!T20,(Datos!J20+Datos!Z20-(Datos!T20+Datos!AH20))/(Datos!T20+Datos!AH20))," - ")</f>
        <v>-3.8121466879257861E-2</v>
      </c>
      <c r="F20" s="362">
        <f>IF(ISNUMBER(
   IF(J_V="SI",(Datos!K20-Datos!U20)/Datos!U20,(Datos!K20+Datos!AA20-(Datos!U20+Datos!AI20))/(Datos!U20+Datos!AI20))
     ),IF(J_V="SI",(Datos!K20-Datos!U20)/Datos!U20,(Datos!K20+Datos!AA20-(Datos!U20+Datos!AI20))/(Datos!U20+Datos!AI20))," - ")</f>
        <v>-4.7761194029850748E-4</v>
      </c>
      <c r="G20" s="363">
        <f>IF(ISNUMBER(
   IF(J_V="SI",(Datos!L20-Datos!V20)/Datos!V20,(Datos!L20+Datos!AB20-(Datos!V20+Datos!AJ20))/(Datos!V20+Datos!AJ20))
     ),IF(J_V="SI",(Datos!L20-Datos!V20)/Datos!V20,(Datos!L20+Datos!AB20-(Datos!V20+Datos!AJ20))/(Datos!V20+Datos!AJ20))," - ")</f>
        <v>-0.17174230076348976</v>
      </c>
      <c r="H20" s="364">
        <f>IF(ISNUMBER((Datos!M20-Datos!W20)/Datos!W20),(Datos!M20-Datos!W20)/Datos!W20," - ")</f>
        <v>1.9149929939280708E-2</v>
      </c>
      <c r="I20" s="361">
        <f>IF(ISNUMBER((Tasas!C20-Datos!BE20)/Datos!BE20),(Tasas!C20-Datos!BE20)/Datos!BE20," - ")</f>
        <v>-0.17134652596992314</v>
      </c>
      <c r="J20" s="362">
        <f>IF(ISNUMBER((Tasas!D20-Datos!BF20)/Datos!BF20),(Tasas!D20-Datos!BF20)/Datos!BF20," - ")</f>
        <v>-0.16454548517623421</v>
      </c>
      <c r="K20" s="363">
        <f>IF(ISNUMBER((Tasas!E20-Datos!BG20)/Datos!BG20),(Tasas!E20-Datos!BG20)/Datos!BG20," - ")</f>
        <v>-9.7492394173183436E-2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0.43953685214681393</v>
      </c>
      <c r="E22" s="277">
        <f t="shared" si="1"/>
        <v>0.5816987938127226</v>
      </c>
      <c r="F22" s="277">
        <f t="shared" si="1"/>
        <v>0.5596448609344773</v>
      </c>
      <c r="G22" s="278">
        <f t="shared" si="1"/>
        <v>0.5569799330887526</v>
      </c>
      <c r="H22" s="284">
        <f t="shared" si="1"/>
        <v>9.7459235170685873E-2</v>
      </c>
      <c r="I22" s="276">
        <f t="shared" si="1"/>
        <v>0.30010355639919933</v>
      </c>
      <c r="J22" s="277">
        <f t="shared" si="1"/>
        <v>0.10992543981826747</v>
      </c>
      <c r="K22" s="278">
        <f t="shared" si="1"/>
        <v>0.18951750677745832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O9vsc1z4HAW8x5HOQjFL9A7WIfAJNmzHxiO22lVfBBNO0aiZPWNwsGNfGC5kCqZrwcBcRvd8VBuu7p4ps4lXMQ==" saltValue="B1YZaJEDaVyny159p0Dfq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7</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16.972550769917429</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0</v>
      </c>
      <c r="F10" s="225">
        <f>IF(ISNUMBER(Datos!K10),Datos!K10," - ")</f>
        <v>0</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33.043137254901964</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2129</v>
      </c>
      <c r="D15" s="224">
        <f>IF(ISNUMBER(IF(D_I="SI",Datos!I15,Datos!I15+Datos!AC15)),IF(D_I="SI",Datos!I15,Datos!I15+Datos!AC15)," - ")</f>
        <v>2113</v>
      </c>
      <c r="E15" s="225">
        <f>IF(ISNUMBER(IF(D_I="SI",Datos!J15,Datos!J15+Datos!AD15)),IF(D_I="SI",Datos!J15,Datos!J15+Datos!AD15)," - ")</f>
        <v>3478</v>
      </c>
      <c r="F15" s="225">
        <f>IF(ISNUMBER(IF(D_I="SI",Datos!K15,Datos!K15+Datos!AE15)),IF(D_I="SI",Datos!K15,Datos!K15+Datos!AE15)," - ")</f>
        <v>3635</v>
      </c>
      <c r="G15" s="1029" t="str">
        <f>IF(Datos!E15&lt;&gt;"",Datos!E15,Datos!D15)</f>
        <v>03</v>
      </c>
      <c r="H15" s="226">
        <f>IF(ISNUMBER(IF(D_I="SI",Datos!L15,Datos!L15+Datos!AF15)),IF(D_I="SI",Datos!L15,Datos!L15+Datos!AF15)," - ")</f>
        <v>1972</v>
      </c>
      <c r="I15" s="1039" t="str">
        <f>IF(ISNUMBER(Datos!AS15/Datos!BM15),Datos!AS15/Datos!BM15," - ")</f>
        <v xml:space="preserve"> - </v>
      </c>
      <c r="J15" s="1040">
        <f>IF(ISNUMBER(Datos!BY15/Datos!CN15),Datos!BY15/Datos!CN15," - ")</f>
        <v>0</v>
      </c>
      <c r="K15" s="229">
        <f t="shared" ref="K15:K18" si="3">IF(ISNUMBER((E15-F15)/C15),(E15-F15)/C15," - ")</f>
        <v>-7.3743541568811646E-2</v>
      </c>
      <c r="L15" s="1020">
        <f>IF(ISNUMBER(NºAsuntos!I15/NºAsuntos!G15),(NºAsuntos!I15/NºAsuntos!G15)*11," - ")</f>
        <v>5.9675378266850068</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f t="shared" si="2"/>
        <v>0</v>
      </c>
      <c r="D17" s="224">
        <f>IF(ISNUMBER(IF(D_I="SI",Datos!I17,Datos!I17+Datos!AC17)),IF(D_I="SI",Datos!I17,Datos!I17+Datos!AC17)," - ")</f>
        <v>9</v>
      </c>
      <c r="E17" s="225">
        <f>IF(ISNUMBER(IF(D_I="SI",Datos!J17,Datos!J17+Datos!AD17)),IF(D_I="SI",Datos!J17,Datos!J17+Datos!AD17)," - ")</f>
        <v>0</v>
      </c>
      <c r="F17" s="225">
        <f>IF(ISNUMBER(IF(D_I="SI",Datos!K17,Datos!K17+Datos!AE17)),IF(D_I="SI",Datos!K17,Datos!K17+Datos!AE17)," - ")</f>
        <v>0</v>
      </c>
      <c r="G17" s="1029" t="str">
        <f>IF(Datos!E17&lt;&gt;"",Datos!E17,Datos!D17)</f>
        <v>04</v>
      </c>
      <c r="H17" s="226">
        <f>IF(ISNUMBER(IF(D_I="SI",Datos!L17,Datos!L17+Datos!AF17)),IF(D_I="SI",Datos!L17,Datos!L17+Datos!AF17)," - ")</f>
        <v>0</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v>
      </c>
      <c r="D18" s="224">
        <f>IF(ISNUMBER(IF(D_I="SI",Datos!I18,Datos!I18+Datos!AC18)),IF(D_I="SI",Datos!I18,Datos!I18+Datos!AC18)," - ")</f>
        <v>1</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1</v>
      </c>
      <c r="I18" s="1039" t="str">
        <f>IF(ISNUMBER(Datos!AS18/Datos!BM18),Datos!AS18/Datos!BM18," - ")</f>
        <v xml:space="preserve"> - </v>
      </c>
      <c r="J18" s="1040" t="str">
        <f>IF(ISNUMBER((Datos!BY18+Datos!BZ18)/Datos!CN18),(Datos!BY18+Datos!BZ18)/Datos!CN18," - ")</f>
        <v xml:space="preserve"> - </v>
      </c>
      <c r="K18" s="229">
        <f t="shared" si="3"/>
        <v>0</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2130</v>
      </c>
      <c r="D19" s="1044">
        <f>SUBTOTAL(9,D15:D18)</f>
        <v>2123</v>
      </c>
      <c r="E19" s="1045">
        <f>SUBTOTAL(9,E15:E18)</f>
        <v>3478</v>
      </c>
      <c r="F19" s="1045">
        <f>SUBTOTAL(9,F15:F18)</f>
        <v>3635</v>
      </c>
      <c r="G19" s="1047" t="str">
        <f ca="1">INDIRECT(CONCATENATE("G",ROW()-1))</f>
        <v>37</v>
      </c>
      <c r="H19" s="1048">
        <f ca="1">SUMIF(G$14:G18,G19,H$14:H18)</f>
        <v>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2132</v>
      </c>
      <c r="D20" s="1066">
        <f>SUBTOTAL(9,D9:D19)</f>
        <v>2125</v>
      </c>
      <c r="E20" s="1067">
        <f>SUBTOTAL(9,E9:E19)</f>
        <v>3478</v>
      </c>
      <c r="F20" s="1067">
        <f>SUBTOTAL(9,F9:F19)</f>
        <v>3635</v>
      </c>
      <c r="G20" s="1068"/>
      <c r="H20" s="1069">
        <f ca="1">SUMIF(B9:B19,"TOTAL",H9:H19)</f>
        <v>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tHKKoKn9lFOn9hIrXxg35PvvaAG2V86ALbDOeGZUsaA4WmbPFGYjjeA0XQGGsLRdnsj/voscU2re3SuDltgjrw==" saltValue="tlkjlZpJxHgyX9/mp1NZV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SWIB6SgsiScmMWZDu4TWpD9w/2JFkhFGiLgTbymQvbBVFUr6RfQj07hXPLxe5ww3fEpm49eJIKTpOeo195wpdA==" saltValue="1oXcABJc343EVht9e+3An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8426</v>
      </c>
      <c r="J9" s="180">
        <v>2730</v>
      </c>
      <c r="K9" s="180">
        <v>4357</v>
      </c>
      <c r="L9" s="180">
        <v>6792</v>
      </c>
      <c r="M9" s="180">
        <v>1557</v>
      </c>
      <c r="N9" s="180">
        <v>1803</v>
      </c>
      <c r="O9" s="180">
        <v>1238</v>
      </c>
      <c r="P9" s="180">
        <v>776</v>
      </c>
      <c r="Q9" s="180">
        <v>458</v>
      </c>
      <c r="R9" s="180">
        <v>15206</v>
      </c>
      <c r="S9" s="180">
        <v>10526</v>
      </c>
      <c r="T9" s="180">
        <v>2981</v>
      </c>
      <c r="U9" s="180">
        <v>4251</v>
      </c>
      <c r="V9" s="180">
        <v>9260</v>
      </c>
      <c r="W9" s="180">
        <v>1450</v>
      </c>
      <c r="X9" s="187">
        <v>1939</v>
      </c>
      <c r="Y9" s="190">
        <v>157</v>
      </c>
      <c r="Z9" s="180">
        <v>91</v>
      </c>
      <c r="AA9" s="180">
        <v>124</v>
      </c>
      <c r="AB9" s="180">
        <v>122</v>
      </c>
      <c r="AC9" s="180">
        <v>0</v>
      </c>
      <c r="AD9" s="180">
        <v>0</v>
      </c>
      <c r="AE9" s="180">
        <v>0</v>
      </c>
      <c r="AF9" s="187">
        <v>0</v>
      </c>
      <c r="AG9" s="190">
        <v>99</v>
      </c>
      <c r="AH9" s="180">
        <v>124</v>
      </c>
      <c r="AI9" s="180">
        <v>106</v>
      </c>
      <c r="AJ9" s="191">
        <v>117</v>
      </c>
      <c r="AK9" s="179">
        <v>0</v>
      </c>
      <c r="AL9" s="180">
        <v>0</v>
      </c>
      <c r="AM9" s="180">
        <v>0</v>
      </c>
      <c r="AN9" s="187">
        <v>0</v>
      </c>
      <c r="AO9" s="257">
        <v>7</v>
      </c>
      <c r="AP9" s="153">
        <v>7</v>
      </c>
      <c r="AQ9" s="153">
        <v>7</v>
      </c>
      <c r="AR9" s="192">
        <v>7</v>
      </c>
      <c r="AS9" s="337" t="s">
        <v>763</v>
      </c>
      <c r="AT9" s="194"/>
      <c r="AU9" s="193"/>
      <c r="AV9" s="194"/>
      <c r="AW9" s="193"/>
      <c r="AX9" s="194"/>
      <c r="AY9" s="123">
        <f>IF(ISNUMBER(IF(J_V="SI",S9,S9+AG9)),IF(J_V="SI",S9,S9+AG9)," - ")</f>
        <v>10625</v>
      </c>
      <c r="AZ9" s="123">
        <f>IF(ISNUMBER(IF(J_V="SI",T9,T9+AH9)),IF(J_V="SI",T9,T9+AH9)," - ")</f>
        <v>3105</v>
      </c>
      <c r="BA9" s="124">
        <f>IF(ISNUMBER(IF(J_V="SI",U9,U9+AI9)),IF(J_V="SI",U9,U9+AI9)," - ")</f>
        <v>4357</v>
      </c>
      <c r="BB9" s="124">
        <f>IF(ISNUMBER(IF(J_V="SI",V9,V9+AJ9)),IF(J_V="SI",V9,V9+AJ9)," - ")</f>
        <v>9377</v>
      </c>
      <c r="BC9" s="125">
        <f>IF(ISNUMBER(X9),X9," - ")</f>
        <v>1939</v>
      </c>
      <c r="BD9" s="126">
        <f>IF(ISNUMBER(BA9/AZ9),BA9/AZ9," - ")</f>
        <v>1.403220611916264</v>
      </c>
      <c r="BE9" s="127">
        <f>IF(ISNUMBER(BB9/BA9),BB9/BA9, " - ")</f>
        <v>2.1521689235712644</v>
      </c>
      <c r="BF9" s="127">
        <f>IF(ISNUMBER(BC9/BA9),BC9/BA9, " - ")</f>
        <v>0.44503098462244661</v>
      </c>
      <c r="BG9" s="195">
        <f>IF(ISNUMBER((AY9+AZ9)/BA9),(AY9+AZ9)/BA9," - ")</f>
        <v>3.1512508606839567</v>
      </c>
      <c r="BH9" s="153">
        <v>7</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0</v>
      </c>
      <c r="K10" s="180">
        <v>0</v>
      </c>
      <c r="L10" s="180">
        <v>2</v>
      </c>
      <c r="M10" s="180">
        <v>0</v>
      </c>
      <c r="N10" s="180">
        <v>0</v>
      </c>
      <c r="O10" s="180">
        <v>0</v>
      </c>
      <c r="P10" s="180">
        <v>0</v>
      </c>
      <c r="Q10" s="180">
        <v>2</v>
      </c>
      <c r="R10" s="180">
        <v>64</v>
      </c>
      <c r="S10" s="180">
        <v>10</v>
      </c>
      <c r="T10" s="180">
        <v>1</v>
      </c>
      <c r="U10" s="180">
        <v>1</v>
      </c>
      <c r="V10" s="180">
        <v>10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v>
      </c>
      <c r="AZ10" s="129">
        <f t="shared" si="0"/>
        <v>1</v>
      </c>
      <c r="BA10" s="129">
        <f t="shared" si="0"/>
        <v>1</v>
      </c>
      <c r="BB10" s="129">
        <f t="shared" si="0"/>
        <v>10</v>
      </c>
      <c r="BC10" s="125">
        <f t="shared" si="0"/>
        <v>0</v>
      </c>
      <c r="BD10" s="126">
        <f>IF(ISNUMBER(BA10/AZ10),BA10/AZ10," - ")</f>
        <v>1</v>
      </c>
      <c r="BE10" s="127">
        <f>IF(ISNUMBER(BB10/BA10),BB10/BA10, " - ")</f>
        <v>10</v>
      </c>
      <c r="BF10" s="127">
        <f>IF(ISNUMBER(BC10/BA10),BC10/BA10, " - ")</f>
        <v>0</v>
      </c>
      <c r="BG10" s="195">
        <f>IF(ISNUMBER((AY10+AZ10)/BA10),(AY10+AZ10)/BA10," - ")</f>
        <v>11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585</v>
      </c>
      <c r="J11" s="182">
        <v>248</v>
      </c>
      <c r="K11" s="182">
        <v>196</v>
      </c>
      <c r="L11" s="182">
        <v>637</v>
      </c>
      <c r="M11" s="182">
        <v>103</v>
      </c>
      <c r="N11" s="182">
        <v>75</v>
      </c>
      <c r="O11" s="180">
        <v>51</v>
      </c>
      <c r="P11" s="182">
        <v>8</v>
      </c>
      <c r="Q11" s="182">
        <v>0</v>
      </c>
      <c r="R11" s="182">
        <v>21</v>
      </c>
      <c r="S11" s="182">
        <v>445</v>
      </c>
      <c r="T11" s="182">
        <v>291</v>
      </c>
      <c r="U11" s="182">
        <v>216</v>
      </c>
      <c r="V11" s="182">
        <v>520</v>
      </c>
      <c r="W11" s="182">
        <v>121</v>
      </c>
      <c r="X11" s="188">
        <v>104</v>
      </c>
      <c r="Y11" s="190">
        <v>99</v>
      </c>
      <c r="Z11" s="180">
        <v>89</v>
      </c>
      <c r="AA11" s="180">
        <v>59</v>
      </c>
      <c r="AB11" s="180">
        <v>129</v>
      </c>
      <c r="AC11" s="182">
        <v>0</v>
      </c>
      <c r="AD11" s="182">
        <v>0</v>
      </c>
      <c r="AE11" s="182">
        <v>0</v>
      </c>
      <c r="AF11" s="188">
        <v>0</v>
      </c>
      <c r="AG11" s="201">
        <v>61</v>
      </c>
      <c r="AH11" s="182">
        <v>50</v>
      </c>
      <c r="AI11" s="182">
        <v>51</v>
      </c>
      <c r="AJ11" s="202">
        <v>60</v>
      </c>
      <c r="AK11" s="181">
        <v>0</v>
      </c>
      <c r="AL11" s="182">
        <v>0</v>
      </c>
      <c r="AM11" s="182">
        <v>0</v>
      </c>
      <c r="AN11" s="188">
        <v>0</v>
      </c>
      <c r="AO11" s="258">
        <v>1</v>
      </c>
      <c r="AP11" s="154">
        <v>1</v>
      </c>
      <c r="AQ11" s="154">
        <v>1</v>
      </c>
      <c r="AR11" s="153">
        <v>1</v>
      </c>
      <c r="AS11" s="339" t="s">
        <v>765</v>
      </c>
      <c r="AT11" s="202"/>
      <c r="AU11" s="201"/>
      <c r="AV11" s="202"/>
      <c r="AW11" s="201"/>
      <c r="AX11" s="202"/>
      <c r="AY11" s="126">
        <f t="shared" ref="AY11:BB12" si="1">IF(ISNUMBER(IF(J_V="SI",S11,S11+AG11)),IF(J_V="SI",S11,S11+AG11)," - ")</f>
        <v>506</v>
      </c>
      <c r="AZ11" s="127">
        <f t="shared" si="1"/>
        <v>341</v>
      </c>
      <c r="BA11" s="127">
        <f t="shared" si="1"/>
        <v>267</v>
      </c>
      <c r="BB11" s="127">
        <f t="shared" si="1"/>
        <v>580</v>
      </c>
      <c r="BC11" s="125">
        <f>IF(ISNUMBER(X11),X11," - ")</f>
        <v>104</v>
      </c>
      <c r="BD11" s="126">
        <f t="shared" ref="BD11:BD12" si="2">IF(ISNUMBER(BA11/AZ11),BA11/AZ11," - ")</f>
        <v>0.78299120234604103</v>
      </c>
      <c r="BE11" s="127">
        <f t="shared" ref="BE11:BE12" si="3">IF(ISNUMBER(BB11/BA11),BB11/BA11, " - ")</f>
        <v>2.1722846441947565</v>
      </c>
      <c r="BF11" s="127">
        <f t="shared" ref="BF11:BF12" si="4">IF(ISNUMBER(BC11/BA11),BC11/BA11, " - ")</f>
        <v>0.38951310861423222</v>
      </c>
      <c r="BG11" s="195">
        <f t="shared" ref="BG11:BG12" si="5">IF(ISNUMBER((AY11+AZ11)/BA11),(AY11+AZ11)/BA11," - ")</f>
        <v>3.1722846441947565</v>
      </c>
      <c r="BH11" s="154">
        <v>2</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9013</v>
      </c>
      <c r="J13" s="183">
        <f t="shared" si="6"/>
        <v>2978</v>
      </c>
      <c r="K13" s="183">
        <f t="shared" si="6"/>
        <v>4553</v>
      </c>
      <c r="L13" s="183">
        <f t="shared" si="6"/>
        <v>7431</v>
      </c>
      <c r="M13" s="183">
        <f t="shared" si="6"/>
        <v>1660</v>
      </c>
      <c r="N13" s="183">
        <f t="shared" si="6"/>
        <v>1878</v>
      </c>
      <c r="O13" s="183">
        <f t="shared" si="6"/>
        <v>1289</v>
      </c>
      <c r="P13" s="183">
        <f t="shared" si="6"/>
        <v>784</v>
      </c>
      <c r="Q13" s="183">
        <f t="shared" si="6"/>
        <v>460</v>
      </c>
      <c r="R13" s="183">
        <f t="shared" si="6"/>
        <v>15291</v>
      </c>
      <c r="S13" s="183">
        <f t="shared" si="6"/>
        <v>10981</v>
      </c>
      <c r="T13" s="183">
        <f t="shared" si="6"/>
        <v>3273</v>
      </c>
      <c r="U13" s="183">
        <f t="shared" si="6"/>
        <v>4468</v>
      </c>
      <c r="V13" s="183">
        <f t="shared" si="6"/>
        <v>9790</v>
      </c>
      <c r="W13" s="183">
        <f t="shared" si="6"/>
        <v>1571</v>
      </c>
      <c r="X13" s="183">
        <f t="shared" si="6"/>
        <v>2043</v>
      </c>
      <c r="Y13" s="183">
        <f t="shared" si="6"/>
        <v>256</v>
      </c>
      <c r="Z13" s="183">
        <f t="shared" si="6"/>
        <v>180</v>
      </c>
      <c r="AA13" s="183">
        <f t="shared" si="6"/>
        <v>183</v>
      </c>
      <c r="AB13" s="183">
        <f t="shared" si="6"/>
        <v>251</v>
      </c>
      <c r="AC13" s="183">
        <f t="shared" si="6"/>
        <v>0</v>
      </c>
      <c r="AD13" s="183">
        <f t="shared" si="6"/>
        <v>0</v>
      </c>
      <c r="AE13" s="183">
        <f t="shared" si="6"/>
        <v>0</v>
      </c>
      <c r="AF13" s="183">
        <f>SUBTOTAL(9,AF9:AF12)</f>
        <v>0</v>
      </c>
      <c r="AG13" s="183">
        <f t="shared" ref="AG13:AT13" si="7">SUBTOTAL(9,AG8:AG12)</f>
        <v>160</v>
      </c>
      <c r="AH13" s="183">
        <f t="shared" si="7"/>
        <v>174</v>
      </c>
      <c r="AI13" s="183">
        <f t="shared" si="7"/>
        <v>157</v>
      </c>
      <c r="AJ13" s="183">
        <f t="shared" si="7"/>
        <v>177</v>
      </c>
      <c r="AK13" s="183">
        <f t="shared" si="7"/>
        <v>0</v>
      </c>
      <c r="AL13" s="183">
        <f t="shared" si="7"/>
        <v>0</v>
      </c>
      <c r="AM13" s="183">
        <f t="shared" si="7"/>
        <v>0</v>
      </c>
      <c r="AN13" s="183">
        <f t="shared" si="7"/>
        <v>0</v>
      </c>
      <c r="AO13" s="183">
        <f t="shared" si="7"/>
        <v>9</v>
      </c>
      <c r="AP13" s="183">
        <f t="shared" si="7"/>
        <v>8</v>
      </c>
      <c r="AQ13" s="183">
        <f t="shared" si="7"/>
        <v>8</v>
      </c>
      <c r="AR13" s="183">
        <f t="shared" si="7"/>
        <v>8</v>
      </c>
      <c r="AS13" s="183">
        <f t="shared" si="7"/>
        <v>0</v>
      </c>
      <c r="AT13" s="183">
        <f t="shared" si="7"/>
        <v>0</v>
      </c>
      <c r="AU13" s="203"/>
      <c r="AV13" s="132"/>
      <c r="AW13" s="203"/>
      <c r="AX13" s="132"/>
      <c r="AY13" s="183">
        <f>SUBTOTAL(9,AY8:AY12)</f>
        <v>11141</v>
      </c>
      <c r="AZ13" s="183">
        <f>SUBTOTAL(9,AZ8:AZ12)</f>
        <v>3447</v>
      </c>
      <c r="BA13" s="183">
        <f>SUBTOTAL(9,BA8:BA12)</f>
        <v>4625</v>
      </c>
      <c r="BB13" s="183">
        <f>SUBTOTAL(9,BB8:BB12)</f>
        <v>9967</v>
      </c>
      <c r="BC13" s="183">
        <f>SUBTOTAL(9,BC8:BC12)</f>
        <v>2043</v>
      </c>
      <c r="BD13" s="204">
        <f>IF(ISNUMBER(BA13/AZ13),BA13/AZ13," - ")</f>
        <v>1.3417464461850885</v>
      </c>
      <c r="BE13" s="205">
        <f>IF(ISNUMBER(BB13/BA13),BB13/BA13, " - ")</f>
        <v>2.1550270270270269</v>
      </c>
      <c r="BF13" s="205">
        <f>IF(ISNUMBER(BC13/BA13),BC13/BA13, " - ")</f>
        <v>0.44172972972972974</v>
      </c>
      <c r="BG13" s="206">
        <f>IF(ISNUMBER((AY13+AZ13)/BA13),(AY13+AZ13)/BA13," - ")</f>
        <v>3.1541621621621623</v>
      </c>
      <c r="BH13" s="139">
        <f>SUBTOTAL(9,BH8:BH12)</f>
        <v>10</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2113</v>
      </c>
      <c r="J15" s="182">
        <v>3478</v>
      </c>
      <c r="K15" s="182">
        <v>3635</v>
      </c>
      <c r="L15" s="182">
        <v>1972</v>
      </c>
      <c r="M15" s="182">
        <v>522</v>
      </c>
      <c r="N15" s="182">
        <v>2420</v>
      </c>
      <c r="O15" s="180">
        <v>91</v>
      </c>
      <c r="P15" s="182">
        <v>127</v>
      </c>
      <c r="Q15" s="182">
        <v>221</v>
      </c>
      <c r="R15" s="182">
        <v>414</v>
      </c>
      <c r="S15" s="182">
        <v>1933</v>
      </c>
      <c r="T15" s="182">
        <v>3452</v>
      </c>
      <c r="U15" s="182">
        <v>3750</v>
      </c>
      <c r="V15" s="182">
        <v>1678</v>
      </c>
      <c r="W15" s="182">
        <v>570</v>
      </c>
      <c r="X15" s="188">
        <v>2472</v>
      </c>
      <c r="Y15" s="201">
        <v>0</v>
      </c>
      <c r="Z15" s="182">
        <v>0</v>
      </c>
      <c r="AA15" s="182">
        <v>0</v>
      </c>
      <c r="AB15" s="182">
        <v>0</v>
      </c>
      <c r="AC15" s="182">
        <v>0</v>
      </c>
      <c r="AD15" s="182">
        <v>1</v>
      </c>
      <c r="AE15" s="182">
        <v>1</v>
      </c>
      <c r="AF15" s="188">
        <v>0</v>
      </c>
      <c r="AG15" s="201">
        <v>0</v>
      </c>
      <c r="AH15" s="182">
        <v>0</v>
      </c>
      <c r="AI15" s="182">
        <v>0</v>
      </c>
      <c r="AJ15" s="202">
        <v>0</v>
      </c>
      <c r="AK15" s="181">
        <v>0</v>
      </c>
      <c r="AL15" s="182">
        <v>5</v>
      </c>
      <c r="AM15" s="182">
        <v>5</v>
      </c>
      <c r="AN15" s="188">
        <v>0</v>
      </c>
      <c r="AO15" s="258">
        <v>4</v>
      </c>
      <c r="AP15" s="154">
        <v>4</v>
      </c>
      <c r="AQ15" s="154">
        <v>4</v>
      </c>
      <c r="AR15" s="154">
        <v>4</v>
      </c>
      <c r="AS15" s="339" t="s">
        <v>520</v>
      </c>
      <c r="AT15" s="202" t="s">
        <v>327</v>
      </c>
      <c r="AU15" s="201"/>
      <c r="AV15" s="202"/>
      <c r="AW15" s="201"/>
      <c r="AX15" s="202"/>
      <c r="AY15" s="128">
        <f t="shared" ref="AY15:BB17" si="9">IF(ISNUMBER(IF(D_I="SI",S15,S15+AK15)),IF(D_I="SI",S15,S15+AK15)," - ")</f>
        <v>1933</v>
      </c>
      <c r="AZ15" s="129">
        <f t="shared" si="9"/>
        <v>3452</v>
      </c>
      <c r="BA15" s="129">
        <f t="shared" si="9"/>
        <v>3750</v>
      </c>
      <c r="BB15" s="129">
        <f t="shared" si="9"/>
        <v>1678</v>
      </c>
      <c r="BC15" s="125">
        <f>IF(ISNUMBER(W15),W15," - ")</f>
        <v>570</v>
      </c>
      <c r="BD15" s="126">
        <f>IF(ISNUMBER(BA15/AZ15),BA15/AZ15," - ")</f>
        <v>1.0863267670915411</v>
      </c>
      <c r="BE15" s="127">
        <f>IF(ISNUMBER(BB15/BA15),BB15/BA15, " - ")</f>
        <v>0.44746666666666668</v>
      </c>
      <c r="BF15" s="127">
        <f>IF(ISNUMBER(BC15/BA15),BC15/BA15, " - ")</f>
        <v>0.152</v>
      </c>
      <c r="BG15" s="195">
        <f t="shared" ref="BG15:BG17" si="10">IF(ISNUMBER((AY15+AZ15)/BA15),(AY15+AZ15)/BA15," - ")</f>
        <v>1.4359999999999999</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9</v>
      </c>
      <c r="J17" s="182">
        <v>0</v>
      </c>
      <c r="K17" s="182">
        <v>0</v>
      </c>
      <c r="L17" s="182">
        <v>0</v>
      </c>
      <c r="M17" s="182">
        <v>0</v>
      </c>
      <c r="N17" s="182">
        <v>0</v>
      </c>
      <c r="O17" s="180">
        <v>0</v>
      </c>
      <c r="P17" s="182">
        <v>0</v>
      </c>
      <c r="Q17" s="182">
        <v>0</v>
      </c>
      <c r="R17" s="182">
        <v>0</v>
      </c>
      <c r="S17" s="182">
        <v>9</v>
      </c>
      <c r="T17" s="182">
        <v>0</v>
      </c>
      <c r="U17" s="182">
        <v>0</v>
      </c>
      <c r="V17" s="182">
        <v>9</v>
      </c>
      <c r="W17" s="182">
        <v>0</v>
      </c>
      <c r="X17" s="188">
        <v>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0</v>
      </c>
      <c r="AP17" s="154">
        <v>0</v>
      </c>
      <c r="AQ17" s="154">
        <v>0</v>
      </c>
      <c r="AR17" s="154">
        <v>0</v>
      </c>
      <c r="AS17" s="339" t="s">
        <v>486</v>
      </c>
      <c r="AT17" s="202"/>
      <c r="AU17" s="201"/>
      <c r="AV17" s="202"/>
      <c r="AW17" s="201"/>
      <c r="AX17" s="202"/>
      <c r="AY17" s="126">
        <f t="shared" si="9"/>
        <v>9</v>
      </c>
      <c r="AZ17" s="127">
        <f t="shared" si="9"/>
        <v>0</v>
      </c>
      <c r="BA17" s="127">
        <f t="shared" si="9"/>
        <v>0</v>
      </c>
      <c r="BB17" s="127">
        <f t="shared" si="9"/>
        <v>9</v>
      </c>
      <c r="BC17" s="125">
        <f>IF(ISNUMBER(W17),W17," - ")</f>
        <v>0</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v>
      </c>
      <c r="J18" s="182">
        <v>0</v>
      </c>
      <c r="K18" s="182">
        <v>0</v>
      </c>
      <c r="L18" s="182">
        <v>1</v>
      </c>
      <c r="M18" s="182">
        <v>0</v>
      </c>
      <c r="N18" s="182">
        <v>0</v>
      </c>
      <c r="O18" s="182">
        <v>0</v>
      </c>
      <c r="P18" s="182">
        <v>0</v>
      </c>
      <c r="Q18" s="182">
        <v>0</v>
      </c>
      <c r="R18" s="182">
        <v>0</v>
      </c>
      <c r="S18" s="182">
        <v>3</v>
      </c>
      <c r="T18" s="182">
        <v>0</v>
      </c>
      <c r="U18" s="182">
        <v>0</v>
      </c>
      <c r="V18" s="182">
        <v>3</v>
      </c>
      <c r="W18" s="182">
        <v>0</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v>
      </c>
      <c r="AZ18" s="129">
        <f t="shared" si="19"/>
        <v>0</v>
      </c>
      <c r="BA18" s="129">
        <f t="shared" si="19"/>
        <v>0</v>
      </c>
      <c r="BB18" s="129">
        <f t="shared" si="19"/>
        <v>3</v>
      </c>
      <c r="BC18" s="125">
        <f>IF(ISNUMBER(W18),W18," - ")</f>
        <v>0</v>
      </c>
      <c r="BD18" s="126" t="str">
        <f>IF(ISNUMBER(BA18/AZ18),BA18/AZ18," - ")</f>
        <v xml:space="preserve"> - </v>
      </c>
      <c r="BE18" s="127" t="str">
        <f>IF(ISNUMBER(BB18/BA18),BB18/BA18, " - ")</f>
        <v xml:space="preserve"> - </v>
      </c>
      <c r="BF18" s="127" t="str">
        <f>IF(ISNUMBER(BC18/BA18),BC18/BA18, " - ")</f>
        <v xml:space="preserve"> - </v>
      </c>
      <c r="BG18" s="195" t="str">
        <f>IF(ISNUMBER((AY18+AZ18)/BA18),(AY18+AZ18)/BA18," - ")</f>
        <v xml:space="preserve"> - </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2123</v>
      </c>
      <c r="J19" s="183">
        <f t="shared" si="20"/>
        <v>3478</v>
      </c>
      <c r="K19" s="183">
        <f t="shared" si="20"/>
        <v>3635</v>
      </c>
      <c r="L19" s="183">
        <f t="shared" si="20"/>
        <v>1973</v>
      </c>
      <c r="M19" s="183">
        <f t="shared" si="20"/>
        <v>522</v>
      </c>
      <c r="N19" s="183">
        <f t="shared" si="20"/>
        <v>2420</v>
      </c>
      <c r="O19" s="183">
        <f t="shared" si="20"/>
        <v>91</v>
      </c>
      <c r="P19" s="183">
        <f t="shared" si="20"/>
        <v>127</v>
      </c>
      <c r="Q19" s="183">
        <f t="shared" si="20"/>
        <v>221</v>
      </c>
      <c r="R19" s="183">
        <f t="shared" si="20"/>
        <v>414</v>
      </c>
      <c r="S19" s="183">
        <f t="shared" si="20"/>
        <v>1945</v>
      </c>
      <c r="T19" s="183">
        <f t="shared" si="20"/>
        <v>3452</v>
      </c>
      <c r="U19" s="183">
        <f t="shared" si="20"/>
        <v>3750</v>
      </c>
      <c r="V19" s="183">
        <f t="shared" si="20"/>
        <v>1690</v>
      </c>
      <c r="W19" s="183">
        <f t="shared" si="20"/>
        <v>570</v>
      </c>
      <c r="X19" s="183">
        <f t="shared" si="20"/>
        <v>2472</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5</v>
      </c>
      <c r="AM19" s="183">
        <f t="shared" si="20"/>
        <v>5</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1945</v>
      </c>
      <c r="AZ19" s="183">
        <f>SUBTOTAL(9,AZ14:AZ18)</f>
        <v>3452</v>
      </c>
      <c r="BA19" s="183">
        <f>SUBTOTAL(9,BA14:BA18)</f>
        <v>3750</v>
      </c>
      <c r="BB19" s="183">
        <f>SUBTOTAL(9,BB14:BB18)</f>
        <v>1690</v>
      </c>
      <c r="BC19" s="183">
        <f>SUBTOTAL(9,BC14:BC18)</f>
        <v>570</v>
      </c>
      <c r="BD19" s="204">
        <f>IF(ISNUMBER(BA19/AZ19),BA19/AZ19," - ")</f>
        <v>1.0863267670915411</v>
      </c>
      <c r="BE19" s="205">
        <f>IF(ISNUMBER(BB19/BA19),BB19/BA19, " - ")</f>
        <v>0.45066666666666666</v>
      </c>
      <c r="BF19" s="205">
        <f>IF(ISNUMBER(BC19/BA19),BC19/BA19, " - ")</f>
        <v>0.152</v>
      </c>
      <c r="BG19" s="206">
        <f>IF(ISNUMBER((AY19+AZ19)/BA19),(AY19+AZ19)/BA19," - ")</f>
        <v>1.4392</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11136</v>
      </c>
      <c r="J20" s="134">
        <f t="shared" si="23"/>
        <v>6456</v>
      </c>
      <c r="K20" s="134">
        <f t="shared" si="23"/>
        <v>8188</v>
      </c>
      <c r="L20" s="134">
        <f t="shared" si="23"/>
        <v>9404</v>
      </c>
      <c r="M20" s="134">
        <f t="shared" si="23"/>
        <v>2182</v>
      </c>
      <c r="N20" s="134">
        <f t="shared" si="23"/>
        <v>4298</v>
      </c>
      <c r="O20" s="134">
        <f t="shared" si="23"/>
        <v>1380</v>
      </c>
      <c r="P20" s="134">
        <f t="shared" si="23"/>
        <v>911</v>
      </c>
      <c r="Q20" s="134">
        <f t="shared" si="23"/>
        <v>681</v>
      </c>
      <c r="R20" s="134">
        <f t="shared" si="23"/>
        <v>15705</v>
      </c>
      <c r="S20" s="134">
        <f t="shared" si="23"/>
        <v>12926</v>
      </c>
      <c r="T20" s="134">
        <f t="shared" si="23"/>
        <v>6725</v>
      </c>
      <c r="U20" s="134">
        <f t="shared" si="23"/>
        <v>8218</v>
      </c>
      <c r="V20" s="134">
        <f t="shared" si="23"/>
        <v>11480</v>
      </c>
      <c r="W20" s="134">
        <f t="shared" si="23"/>
        <v>2141</v>
      </c>
      <c r="X20" s="134">
        <f t="shared" si="23"/>
        <v>4515</v>
      </c>
      <c r="Y20" s="134">
        <f t="shared" si="23"/>
        <v>256</v>
      </c>
      <c r="Z20" s="134">
        <f t="shared" si="23"/>
        <v>180</v>
      </c>
      <c r="AA20" s="134">
        <f t="shared" si="23"/>
        <v>183</v>
      </c>
      <c r="AB20" s="134">
        <f t="shared" si="23"/>
        <v>251</v>
      </c>
      <c r="AC20" s="134">
        <f t="shared" si="23"/>
        <v>0</v>
      </c>
      <c r="AD20" s="134">
        <f t="shared" si="23"/>
        <v>1</v>
      </c>
      <c r="AE20" s="134">
        <f t="shared" si="23"/>
        <v>1</v>
      </c>
      <c r="AF20" s="134">
        <f t="shared" si="23"/>
        <v>0</v>
      </c>
      <c r="AG20" s="134">
        <f t="shared" si="23"/>
        <v>160</v>
      </c>
      <c r="AH20" s="134">
        <f t="shared" si="23"/>
        <v>174</v>
      </c>
      <c r="AI20" s="134">
        <f t="shared" si="23"/>
        <v>157</v>
      </c>
      <c r="AJ20" s="134">
        <f t="shared" si="23"/>
        <v>177</v>
      </c>
      <c r="AK20" s="134">
        <f t="shared" si="23"/>
        <v>0</v>
      </c>
      <c r="AL20" s="134">
        <f t="shared" si="23"/>
        <v>5</v>
      </c>
      <c r="AM20" s="134">
        <f t="shared" si="23"/>
        <v>5</v>
      </c>
      <c r="AN20" s="209">
        <f t="shared" si="23"/>
        <v>0</v>
      </c>
      <c r="AO20" s="210">
        <v>13</v>
      </c>
      <c r="AP20" s="210">
        <v>12</v>
      </c>
      <c r="AQ20" s="210">
        <v>12</v>
      </c>
      <c r="AR20" s="210">
        <v>12</v>
      </c>
      <c r="AS20" s="152">
        <f t="shared" si="23"/>
        <v>0</v>
      </c>
      <c r="AT20" s="152">
        <f t="shared" si="23"/>
        <v>0</v>
      </c>
      <c r="AU20" s="210"/>
      <c r="AV20" s="211"/>
      <c r="AW20" s="210"/>
      <c r="AX20" s="211"/>
      <c r="AY20" s="133">
        <f>SUBTOTAL(9,AY9:AY19)</f>
        <v>13086</v>
      </c>
      <c r="AZ20" s="134">
        <f>SUBTOTAL(9,AZ9:AZ19)</f>
        <v>6899</v>
      </c>
      <c r="BA20" s="134">
        <f>SUBTOTAL(9,BA9:BA19)</f>
        <v>8375</v>
      </c>
      <c r="BB20" s="134">
        <f>SUBTOTAL(9,BB9:BB19)</f>
        <v>11657</v>
      </c>
      <c r="BC20" s="135">
        <f>SUBTOTAL(9,BC9:BC19)</f>
        <v>2613</v>
      </c>
      <c r="BD20" s="212">
        <f>IF(ISNUMBER(BA20/AZ20),BA20/AZ20," - ")</f>
        <v>1.2139440498622989</v>
      </c>
      <c r="BE20" s="209">
        <f>IF(ISNUMBER(BB20/BA20),BB20/BA20, " - ")</f>
        <v>1.3918805970149253</v>
      </c>
      <c r="BF20" s="209">
        <f>IF(ISNUMBER(BC20/BA20),BC20/BA20, " - ")</f>
        <v>0.312</v>
      </c>
      <c r="BG20" s="135">
        <f>IF(ISNUMBER((AY20+AZ20)/BA20),(AY20+AZ20)/BA20," - ")</f>
        <v>2.386268656716418</v>
      </c>
      <c r="BH20" s="210">
        <f>SUBTOTAL(9,BH9:BH19)</f>
        <v>15</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ih8V5EzlvpIWSu68yHKwRyPXBC+RX9tyVohmG20oM/ATPRgN6J84Fc29OElCK3YWqcGBHG2bLrcWgSb8/QS4A==" saltValue="ODTQaj3QyVWlkjB3Z3TSe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WLq+JAnRY6UnqTON7FduJbzKmFVjq3+F/Vl/pbVdvDHd9DIk+/tAvZQrfE8odCKkiy9fY1M995PVKRm8jA3AA==" saltValue="jkBPee2Z+fYVtRnypgtcJ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SAN CRISTOBAL DE LA LAGUNA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91</v>
      </c>
      <c r="O9" s="333"/>
      <c r="P9" s="333"/>
      <c r="Q9" s="225">
        <f>IF(ISNUMBER(Datos!P9),Datos!P9,0)</f>
        <v>776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458</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122</v>
      </c>
      <c r="AI9" s="333" t="str">
        <f>IF(ISNUMBER(Datos!CD9),Datos!CD9,"-")</f>
        <v>-</v>
      </c>
      <c r="AJ9" s="333" t="str">
        <f>IF(ISNUMBER(Datos!EN9),Datos!EN9," - ")</f>
        <v xml:space="preserve"> - </v>
      </c>
      <c r="AK9" s="333"/>
      <c r="AL9" s="478"/>
      <c r="AM9" s="334">
        <f>IF(ISNUMBER(Datos!R9),Datos!R9," - ")</f>
        <v>15206</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1557</v>
      </c>
      <c r="BD9" s="228">
        <f>IF(ISNUMBER(Datos!N9),Datos!N9," - ")</f>
        <v>1803</v>
      </c>
      <c r="BE9" s="228" t="str">
        <f>IF(ISNUMBER(Datos!BW9),Datos!BW9," - ")</f>
        <v xml:space="preserve"> - </v>
      </c>
      <c r="BF9" s="227" t="str">
        <f>IF(ISNUMBER(Datos!BX9),Datos!BX9," - ")</f>
        <v xml:space="preserve"> - </v>
      </c>
      <c r="BG9" s="242">
        <f>IF(ISNUMBER(IF(J_V="SI",Datos!K9/Datos!J9,(Datos!K9+Datos!AA9)/(Datos!J9+Datos!Z9))),IF(J_V="SI",Datos!K9/Datos!J9,(Datos!K9+Datos!AA9)/(Datos!J9+Datos!Z9))," - ")</f>
        <v>1.5884438142502659</v>
      </c>
      <c r="BH9" s="259">
        <f>IF(ISNUMBER(((IF(J_V="SI",Datos!L9/Datos!K9,(Datos!L9+Datos!AB9)/(Datos!K9+Datos!AA9)))*11)/factor_trimestre),((IF(J_V="SI",Datos!L9/Datos!K9,(Datos!L9+Datos!AB9)/(Datos!K9+Datos!AA9)))*11)/factor_trimestre," - ")</f>
        <v>4.6288774827047536</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2.1359484148307361E-2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2</v>
      </c>
      <c r="AD10" s="333"/>
      <c r="AE10" s="483"/>
      <c r="AF10" s="331">
        <f>IF(ISNUMBER(Datos!L10),Datos!L10,"-")</f>
        <v>2</v>
      </c>
      <c r="AG10" s="333"/>
      <c r="AH10" s="333"/>
      <c r="AI10" s="333"/>
      <c r="AJ10" s="333"/>
      <c r="AK10" s="333"/>
      <c r="AL10" s="478"/>
      <c r="AM10" s="334">
        <f>IF(ISNUMBER(Datos!R10),Datos!R10," - ")</f>
        <v>64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-3.0303030303030304E-2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89</v>
      </c>
      <c r="O11" s="333"/>
      <c r="P11" s="333"/>
      <c r="Q11" s="225">
        <f>IF(ISNUMBER(Datos!P11),Datos!P11,0)</f>
        <v>8</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0</v>
      </c>
      <c r="AD11" s="333"/>
      <c r="AE11" s="483"/>
      <c r="AF11" s="331" t="str">
        <f>IF(ISNUMBER(IF(J_V="SI",Datos!L11,Datos!L11+Datos!AB11)-IF(Monitorios="SI",Datos!CD11,0)),
                          IF(J_V="SI",Datos!L11,Datos!L11+Datos!AB11)-IF(Monitorios="SI",Datos!CD11,0),
                          " - ")</f>
        <v xml:space="preserve"> - </v>
      </c>
      <c r="AG11" s="333"/>
      <c r="AH11" s="333">
        <f>IF(ISNUMBER(Datos!AB11),Datos!AB11,"-")</f>
        <v>129</v>
      </c>
      <c r="AI11" s="333"/>
      <c r="AJ11" s="333"/>
      <c r="AK11" s="333"/>
      <c r="AL11" s="478"/>
      <c r="AM11" s="334">
        <f>IF(ISNUMBER(Datos!R11),Datos!R11," - ")</f>
        <v>21</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103</v>
      </c>
      <c r="BD11" s="228">
        <f>IF(ISNUMBER(Datos!N11),Datos!N11," - ")</f>
        <v>75</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0.75667655786350152</v>
      </c>
      <c r="BH11" s="259">
        <f>IF(ISNUMBER(((IF(J_V="SI",Datos!L11/Datos!K11,(Datos!L11+Datos!AB11)/(Datos!K11+Datos!AA11)))*11)/factor_trimestre),((IF(J_V="SI",Datos!L11/Datos!K11,(Datos!L11+Datos!AB11)/(Datos!K11+Datos!AA11)))*11)/factor_trimestre," - ")</f>
        <v>9.0117647058823547</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0.61538461538461542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180</v>
      </c>
      <c r="O13" s="897">
        <f t="shared" si="0"/>
        <v>0</v>
      </c>
      <c r="P13" s="897">
        <f t="shared" si="0"/>
        <v>0</v>
      </c>
      <c r="Q13" s="896">
        <f t="shared" si="0"/>
        <v>784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460</v>
      </c>
      <c r="AD13" s="896">
        <f t="shared" si="1"/>
        <v>0</v>
      </c>
      <c r="AE13" s="896">
        <f t="shared" si="1"/>
        <v>0</v>
      </c>
      <c r="AF13" s="896">
        <f t="shared" si="1"/>
        <v>2</v>
      </c>
      <c r="AG13" s="896">
        <f t="shared" si="1"/>
        <v>0</v>
      </c>
      <c r="AH13" s="896">
        <f t="shared" si="1"/>
        <v>251</v>
      </c>
      <c r="AI13" s="896">
        <f t="shared" si="1"/>
        <v>0</v>
      </c>
      <c r="AJ13" s="896">
        <f t="shared" si="1"/>
        <v>0</v>
      </c>
      <c r="AK13" s="896">
        <f t="shared" si="1"/>
        <v>0</v>
      </c>
      <c r="AL13" s="896">
        <f t="shared" si="1"/>
        <v>0</v>
      </c>
      <c r="AM13" s="896">
        <f t="shared" si="1"/>
        <v>15291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1660</v>
      </c>
      <c r="BD13" s="896">
        <f t="shared" si="1"/>
        <v>1878</v>
      </c>
      <c r="BE13" s="896">
        <f t="shared" si="1"/>
        <v>0</v>
      </c>
      <c r="BF13" s="896">
        <f t="shared" si="1"/>
        <v>0</v>
      </c>
      <c r="BG13" s="896">
        <f>IF(ISNUMBER(Datos!K13/Datos!J13),Datos!K13/Datos!J13," - ")</f>
        <v>1.5288784419073203</v>
      </c>
      <c r="BH13" s="900">
        <f>IF(ISNUMBER(((Datos!L13/Datos!K13)*11)/factor_trimestre),((Datos!L13/Datos!K13)*11)/factor_trimestre," - ")</f>
        <v>4.8963320887327049</v>
      </c>
      <c r="BI13" s="896">
        <f>IF(ISNUMBER('Resol  Asuntos'!D13/NºAsuntos!G13),'Resol  Asuntos'!D13/NºAsuntos!G13," - ")</f>
        <v>0.35050675675675674</v>
      </c>
      <c r="BJ13" s="896" t="str">
        <f>IF(ISNUMBER(Datos!CI13/Datos!CJ13),Datos!CI13/Datos!CJ13," - ")</f>
        <v xml:space="preserve"> - </v>
      </c>
      <c r="BK13" s="896">
        <f>SUBTOTAL(9,BK8:BK12)</f>
        <v>0</v>
      </c>
      <c r="BL13" s="896">
        <f>IF(ISNUMBER((I13-AB13+L13)/(F13)),(I13-AB13+L13)/(F13)," - ")</f>
        <v>0</v>
      </c>
      <c r="BM13" s="901">
        <f>SUBTOTAL(9,BM9:BM12)</f>
        <v>0.60644106922989249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2129</v>
      </c>
      <c r="G15" s="596">
        <f>IF(ISNUMBER(IF(D_I="SI",Datos!I15,Datos!I15+Datos!AC15)),IF(D_I="SI",Datos!I15,Datos!I15+Datos!AC15)," - ")</f>
        <v>2113</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127</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3635</v>
      </c>
      <c r="AC15" s="225">
        <f>IF(ISNUMBER(Datos!Q15),Datos!Q15," - ")</f>
        <v>221</v>
      </c>
      <c r="AD15" s="333"/>
      <c r="AE15" s="483"/>
      <c r="AF15" s="1192">
        <f>IF(ISNUMBER(IF(D_I="SI",Datos!L15,Datos!L15+Datos!AF15)),IF(D_I="SI",Datos!L15,Datos!L15+Datos!AF15)," - ")</f>
        <v>1972</v>
      </c>
      <c r="AG15" s="333"/>
      <c r="AH15" s="333"/>
      <c r="AI15" s="333"/>
      <c r="AJ15" s="333"/>
      <c r="AK15" s="333"/>
      <c r="AL15" s="478"/>
      <c r="AM15" s="334">
        <f>IF(ISNUMBER(Datos!R15),Datos!R15," - ")</f>
        <v>414</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522</v>
      </c>
      <c r="BD15" s="228">
        <f>IF(ISNUMBER(Datos!N15),Datos!N15," - ")</f>
        <v>2420</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1.0451408855664175</v>
      </c>
      <c r="BH15" s="259">
        <f>IF(ISNUMBER(((IF(D_I="SI",Datos!L15/Datos!K15,(Datos!L15+Datos!AF15)/(Datos!K15+Datos!AE15)))*11)/factor_trimestre),((IF(D_I="SI",Datos!L15/Datos!K15,(Datos!L15+Datos!AF15)/(Datos!K15+Datos!AE15)))*11)/factor_trimestre," - ")</f>
        <v>1.6275103163686382</v>
      </c>
      <c r="BI15" s="242">
        <f>IF(ISNUMBER('Resol  Asuntos'!D15/NºAsuntos!G15),'Resol  Asuntos'!D15/NºAsuntos!G15," - ")</f>
        <v>0.14360385144429161</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0</v>
      </c>
      <c r="G17" s="596">
        <f>IF(ISNUMBER(IF(D_I="SI",Datos!I17,Datos!I17+Datos!AC17)),IF(D_I="SI",Datos!I17,Datos!I17+Datos!AC17)," - ")</f>
        <v>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0</v>
      </c>
      <c r="AC17" s="225">
        <f>IF(ISNUMBER(Datos!Q17),Datos!Q17," - ")</f>
        <v>0</v>
      </c>
      <c r="AD17" s="333"/>
      <c r="AE17" s="483"/>
      <c r="AF17" s="1192">
        <f>IF(ISNUMBER(IF(D_I="SI",Datos!L17,Datos!L17+Datos!AF17)),IF(D_I="SI",Datos!L17,Datos!L17+Datos!AF17)," - ")</f>
        <v>0</v>
      </c>
      <c r="AG17" s="333"/>
      <c r="AH17" s="333"/>
      <c r="AI17" s="333"/>
      <c r="AJ17" s="333"/>
      <c r="AK17" s="333"/>
      <c r="AL17" s="478"/>
      <c r="AM17" s="334">
        <f>IF(ISNUMBER(Datos!R17),Datos!R17," - ")</f>
        <v>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0</v>
      </c>
      <c r="BD17" s="228">
        <f>IF(ISNUMBER(Datos!N17),Datos!N17," - ")</f>
        <v>0</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2129</v>
      </c>
      <c r="G19" s="895">
        <f>SUBTOTAL(9,G15:G18)</f>
        <v>2123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127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3635</v>
      </c>
      <c r="AC19" s="896">
        <f t="shared" si="4"/>
        <v>221</v>
      </c>
      <c r="AD19" s="896">
        <f t="shared" si="4"/>
        <v>0</v>
      </c>
      <c r="AE19" s="896">
        <f t="shared" si="4"/>
        <v>0</v>
      </c>
      <c r="AF19" s="896">
        <f t="shared" si="4"/>
        <v>1973</v>
      </c>
      <c r="AG19" s="896">
        <f t="shared" si="4"/>
        <v>0</v>
      </c>
      <c r="AH19" s="896">
        <f t="shared" si="4"/>
        <v>0</v>
      </c>
      <c r="AI19" s="896">
        <f t="shared" si="4"/>
        <v>0</v>
      </c>
      <c r="AJ19" s="896">
        <f t="shared" si="4"/>
        <v>0</v>
      </c>
      <c r="AK19" s="896">
        <f t="shared" si="4"/>
        <v>0</v>
      </c>
      <c r="AL19" s="896">
        <f t="shared" si="4"/>
        <v>0</v>
      </c>
      <c r="AM19" s="896">
        <f t="shared" si="4"/>
        <v>414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522</v>
      </c>
      <c r="BD19" s="896">
        <f t="shared" si="4"/>
        <v>2420</v>
      </c>
      <c r="BE19" s="896">
        <f t="shared" si="4"/>
        <v>0</v>
      </c>
      <c r="BF19" s="896">
        <f t="shared" si="4"/>
        <v>0</v>
      </c>
      <c r="BG19" s="896">
        <f>IF(ISNUMBER(Datos!K19/Datos!J19),Datos!K19/Datos!J19," - ")</f>
        <v>1.0451408855664175</v>
      </c>
      <c r="BH19" s="900">
        <f>IF(ISNUMBER(((Datos!L19/Datos!K19)*11)/factor_trimestre),((Datos!L19/Datos!K19)*11)/factor_trimestre," - ")</f>
        <v>1.6283356258596975</v>
      </c>
      <c r="BI19" s="896">
        <f>SUBTOTAL(9,BI15:BI18)</f>
        <v>0.14360385144429161</v>
      </c>
      <c r="BJ19" s="896">
        <f>SUBTOTAL(9,BJ15:BJ18)</f>
        <v>0</v>
      </c>
      <c r="BK19" s="896">
        <f>SUBTOTAL(9,BK15:BK18)</f>
        <v>0</v>
      </c>
      <c r="BL19" s="896">
        <f>IF(ISNUMBER((I19-AB19+L19)/(F19)),(I19-AB19+L19)/(F19)," - ")</f>
        <v>-1.7073743541568811</v>
      </c>
      <c r="BM19" s="902">
        <f>IF(ISNUMBER((Datos!P19-Datos!Q19)/(Datos!R19-Datos!P19+Datos!Q19)),(Datos!P19-Datos!Q19)/(Datos!R19-Datos!P19+Datos!Q19)," - ")</f>
        <v>-0.18503937007874016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2131</v>
      </c>
      <c r="G20" s="817">
        <f t="shared" si="6"/>
        <v>2125</v>
      </c>
      <c r="H20" s="819">
        <f t="shared" si="6"/>
        <v>0</v>
      </c>
      <c r="I20" s="817">
        <f t="shared" si="6"/>
        <v>0</v>
      </c>
      <c r="J20" s="819">
        <f t="shared" si="6"/>
        <v>0</v>
      </c>
      <c r="K20" s="819">
        <f t="shared" si="6"/>
        <v>0</v>
      </c>
      <c r="L20" s="878">
        <f t="shared" si="6"/>
        <v>0</v>
      </c>
      <c r="M20" s="878">
        <f t="shared" si="6"/>
        <v>0</v>
      </c>
      <c r="N20" s="878">
        <f t="shared" si="6"/>
        <v>180</v>
      </c>
      <c r="O20" s="878">
        <f t="shared" si="6"/>
        <v>0</v>
      </c>
      <c r="P20" s="878">
        <f t="shared" si="6"/>
        <v>0</v>
      </c>
      <c r="Q20" s="819">
        <f t="shared" si="6"/>
        <v>911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3635</v>
      </c>
      <c r="AC20" s="818">
        <f t="shared" si="7"/>
        <v>681</v>
      </c>
      <c r="AD20" s="818">
        <f t="shared" si="7"/>
        <v>0</v>
      </c>
      <c r="AE20" s="818">
        <f t="shared" si="7"/>
        <v>0</v>
      </c>
      <c r="AF20" s="825">
        <f t="shared" si="7"/>
        <v>1975</v>
      </c>
      <c r="AG20" s="825">
        <f t="shared" si="7"/>
        <v>0</v>
      </c>
      <c r="AH20" s="825">
        <f t="shared" si="7"/>
        <v>251</v>
      </c>
      <c r="AI20" s="825">
        <f t="shared" si="7"/>
        <v>0</v>
      </c>
      <c r="AJ20" s="818">
        <f t="shared" si="7"/>
        <v>0</v>
      </c>
      <c r="AK20" s="825">
        <f t="shared" si="7"/>
        <v>0</v>
      </c>
      <c r="AL20" s="825">
        <f t="shared" si="7"/>
        <v>0</v>
      </c>
      <c r="AM20" s="825">
        <f t="shared" si="7"/>
        <v>15705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2182</v>
      </c>
      <c r="BD20" s="817">
        <f t="shared" si="7"/>
        <v>4298</v>
      </c>
      <c r="BE20" s="817">
        <f t="shared" si="7"/>
        <v>0</v>
      </c>
      <c r="BF20" s="827">
        <f t="shared" si="7"/>
        <v>0</v>
      </c>
      <c r="BG20" s="912">
        <f>IF(ISNUMBER(Datos!K20/Datos!J20),Datos!K20/Datos!J20," - ")</f>
        <v>1.2682775712515491</v>
      </c>
      <c r="BH20" s="912">
        <f>IF(ISNUMBER(((Datos!L20/Datos!K20)*11)/factor_trimestre),((Datos!L20/Datos!K20)*11)/factor_trimestre," - ")</f>
        <v>3.4455300439667806</v>
      </c>
      <c r="BI20" s="810">
        <f>IF(ISNUMBER(Datos!J20/Datos!I20),Datos!J20/Datos!I20," - ")</f>
        <v>0.57974137931034486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-1.70577193805725</v>
      </c>
      <c r="BM20" s="886">
        <f>IF(ISNUMBER((Datos!P20-Datos!Q20+R20)/(Datos!R20-Datos!P20+Datos!Q20-R20)),(Datos!P20-Datos!Q20+R20)/(Datos!R20-Datos!P20+Datos!Q20-R20)," - ")</f>
        <v>1.4862681744749596E-2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708.33333333333337</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3.1340424729448424</v>
      </c>
      <c r="F22" s="550">
        <f>IF(ISNUMBER(STDEV(F8:F19)),STDEV(F8:F19),"-")</f>
        <v>1165.3713142170611</v>
      </c>
      <c r="G22" s="551">
        <f>IF(ISNUMBER(STDEV(G8:G19)),STDEV(G8:G19),"-")</f>
        <v>1091.9314386291232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1877.1059284618614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692.29060784780677</v>
      </c>
      <c r="BD22" s="550"/>
      <c r="BE22" s="550">
        <f>IF(ISNUMBER(STDEV(BE8:BE19)),STDEV(BE8:BE19),"-")</f>
        <v>0</v>
      </c>
      <c r="BF22" s="555">
        <f>IF(ISNUMBER(STDEV(BF8:BF19)),STDEV(BF8:BF19),"-")</f>
        <v>0</v>
      </c>
      <c r="BG22" s="772">
        <f>IF(ISNUMBER(STDEV(BG8:BG19)),STDEV(BG8:BG19),"-")</f>
        <v>0.35471566643417102</v>
      </c>
      <c r="BH22" s="773">
        <f>IF(ISNUMBER(STDEV(BH8:BH19)),STDEV(BH8:BH19),"-")</f>
        <v>3.0383935682878724</v>
      </c>
      <c r="BI22" s="248">
        <f>IF(ISNUMBER(STDEV(BI8:BI19)),STDEV(BI8:BI19),"-")</f>
        <v>0.11945544807826748</v>
      </c>
      <c r="BJ22" s="229" t="str">
        <f>IF(ISNUMBER(BL22/BM22),BL22/BM22," - ")</f>
        <v xml:space="preserve"> - </v>
      </c>
      <c r="BK22" s="574"/>
      <c r="BL22" s="558">
        <f>IF(ISNUMBER(STDEV(BL8:BL19)),STDEV(BL8:BL19),"-")</f>
        <v>1.2072959838483326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TOSMqD1Ft2P939npcKlvdnI3cyNZDEwuL7CQ/qZ3j5KalAM+ijnegLGKE61dGeiWLQ0hcXfr0CRbeWHn58eHqg==" saltValue="qGemDiINdWvJElgxYerPo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SANTA CRUZ DE TENERIFE  Resumenes por Partidos Judiciales  SAN CRISTOBAL DE LA LAGUNA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7</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776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458</v>
      </c>
      <c r="AA9" s="331" t="str">
        <f>IF(ISNUMBER(IF(J_V="SI",Datos!L9,Datos!L9+Datos!AB9)-IF(Monitorios="SI",Datos!CD9,0)),
                          IF(J_V="SI",Datos!L9,Datos!L9+Datos!AB9)-IF(Monitorios="SI",Datos!CD9,0),
                          " - ")</f>
        <v xml:space="preserve"> - </v>
      </c>
      <c r="AB9" s="333"/>
      <c r="AC9" s="333"/>
      <c r="AD9" s="483"/>
      <c r="AE9" s="483">
        <f>IF(ISNUMBER(Datos!R9),Datos!R9," - ")</f>
        <v>15206</v>
      </c>
      <c r="AF9" s="228" t="str">
        <f>IF(ISNUMBER(Datos!BV9),Datos!BV9," - ")</f>
        <v xml:space="preserve"> - </v>
      </c>
      <c r="AG9" s="224" t="str">
        <f>IF(ISNUMBER(Datos!DV9),Datos!DV9," - ")</f>
        <v xml:space="preserve"> - </v>
      </c>
      <c r="AH9" s="297"/>
      <c r="AI9" s="226"/>
      <c r="AJ9" s="224">
        <f>IF(ISNUMBER(Datos!M9),Datos!M9," - ")</f>
        <v>1557</v>
      </c>
      <c r="AK9" s="228">
        <f>IF(ISNUMBER(Datos!N9),Datos!N9," - ")</f>
        <v>1803</v>
      </c>
      <c r="AL9" s="228" t="str">
        <f>IF(ISNUMBER(Datos!BW9),Datos!BW9," - ")</f>
        <v xml:space="preserve"> - </v>
      </c>
      <c r="AM9" s="227" t="str">
        <f>IF(ISNUMBER(Datos!BX9),Datos!BX9," - ")</f>
        <v xml:space="preserve"> - </v>
      </c>
      <c r="AN9" s="242"/>
      <c r="AO9" s="259">
        <f>IF(ISNUMBER(((NºAsuntos!I9/NºAsuntos!G9)*11)/factor_trimestre),((NºAsuntos!I9/NºAsuntos!G9)*11)/factor_trimestre," - ")</f>
        <v>4.6288774827047536</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2.1359484148307361E-2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2</v>
      </c>
      <c r="AA10" s="331">
        <f>IF(ISNUMBER(Datos!L10),Datos!L10,"-")</f>
        <v>2</v>
      </c>
      <c r="AB10" s="333"/>
      <c r="AC10" s="333"/>
      <c r="AD10" s="483"/>
      <c r="AE10" s="483">
        <f>IF(ISNUMBER(Datos!R10),Datos!R10," - ")</f>
        <v>64</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-3.0303030303030304E-2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1163">
        <f>IF(ISNUMBER(Datos!AQ11),Datos!AQ11," - ")</f>
        <v>1</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8</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0</v>
      </c>
      <c r="AA11" s="331" t="str">
        <f>IF(ISNUMBER(IF(J_V="SI",Datos!L11,Datos!L11+Datos!AB11)-IF(Monitorios="SI",Datos!CD11,0)),
                          IF(J_V="SI",Datos!L11,Datos!L11+Datos!AB11)-IF(Monitorios="SI",Datos!CD11,0),
                          " - ")</f>
        <v xml:space="preserve"> - </v>
      </c>
      <c r="AB11" s="333"/>
      <c r="AC11" s="333"/>
      <c r="AD11" s="483"/>
      <c r="AE11" s="483">
        <f>IF(ISNUMBER(Datos!R11),Datos!R11," - ")</f>
        <v>21</v>
      </c>
      <c r="AF11" s="228" t="str">
        <f>IF(ISNUMBER(Datos!BV11),Datos!BV11," - ")</f>
        <v xml:space="preserve"> - </v>
      </c>
      <c r="AG11" s="224" t="str">
        <f>IF(ISNUMBER(Datos!DV11),Datos!DV11," - ")</f>
        <v xml:space="preserve"> - </v>
      </c>
      <c r="AH11" s="297"/>
      <c r="AI11" s="226"/>
      <c r="AJ11" s="224">
        <f>IF(ISNUMBER(Datos!M11),Datos!M11," - ")</f>
        <v>103</v>
      </c>
      <c r="AK11" s="228">
        <f>IF(ISNUMBER(Datos!N11),Datos!N11," - ")</f>
        <v>75</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9.0117647058823547</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0.61538461538461542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784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460</v>
      </c>
      <c r="AA13" s="897">
        <f t="shared" si="2"/>
        <v>2</v>
      </c>
      <c r="AB13" s="897">
        <f t="shared" si="2"/>
        <v>0</v>
      </c>
      <c r="AC13" s="897">
        <f t="shared" si="2"/>
        <v>0</v>
      </c>
      <c r="AD13" s="897">
        <f t="shared" si="2"/>
        <v>0</v>
      </c>
      <c r="AE13" s="897">
        <f t="shared" si="2"/>
        <v>15291</v>
      </c>
      <c r="AF13" s="905">
        <f t="shared" si="2"/>
        <v>0</v>
      </c>
      <c r="AG13" s="905">
        <f t="shared" si="2"/>
        <v>0</v>
      </c>
      <c r="AH13" s="905">
        <f t="shared" si="2"/>
        <v>0</v>
      </c>
      <c r="AI13" s="905">
        <f t="shared" si="2"/>
        <v>0</v>
      </c>
      <c r="AJ13" s="905">
        <f t="shared" si="2"/>
        <v>1660</v>
      </c>
      <c r="AK13" s="905">
        <f t="shared" si="2"/>
        <v>1878</v>
      </c>
      <c r="AL13" s="905">
        <f t="shared" si="2"/>
        <v>0</v>
      </c>
      <c r="AM13" s="905">
        <f t="shared" si="2"/>
        <v>0</v>
      </c>
      <c r="AN13" s="905">
        <f t="shared" si="2"/>
        <v>0</v>
      </c>
      <c r="AO13" s="901">
        <f>IF(ISNUMBER(((NºAsuntos!I13/NºAsuntos!G13)*11)/factor_trimestre),((NºAsuntos!I13/NºAsuntos!G13)*11)/factor_trimestre," - ")</f>
        <v>4.866131756756757</v>
      </c>
      <c r="AP13" s="907" t="str">
        <f>IF(ISNUMBER(Datos!CI13/Datos!CJ13),Datos!CI13/Datos!CJ13," - ")</f>
        <v xml:space="preserve"> - </v>
      </c>
      <c r="AQ13" s="923">
        <f t="shared" ref="AQ13:AV13" si="3">SUBTOTAL(9,AQ9:AQ12)</f>
        <v>0</v>
      </c>
      <c r="AR13" s="923">
        <f t="shared" si="3"/>
        <v>0.60644106922989249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2129</v>
      </c>
      <c r="G15" s="224">
        <f>IF(ISNUMBER(IF(D_I="SI",Datos!I15,Datos!I15+Datos!AC15)),IF(D_I="SI",Datos!I15,Datos!I15+Datos!AC15)," - ")</f>
        <v>2113</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127</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3635</v>
      </c>
      <c r="Z15" s="617">
        <f>IF(ISNUMBER(Datos!Q15),Datos!Q15," - ")</f>
        <v>221</v>
      </c>
      <c r="AA15" s="331">
        <f>IF(ISNUMBER(IF(D_I="SI",Datos!L15,Datos!L15+Datos!AF15)),IF(D_I="SI",Datos!L15,Datos!L15+Datos!AF15)," - ")</f>
        <v>1972</v>
      </c>
      <c r="AB15" s="333"/>
      <c r="AC15" s="333"/>
      <c r="AD15" s="483"/>
      <c r="AE15" s="483">
        <f>IF(ISNUMBER(Datos!R15),Datos!R15," - ")</f>
        <v>414</v>
      </c>
      <c r="AF15" s="228" t="str">
        <f>IF(ISNUMBER(Datos!BV15),Datos!BV15," - ")</f>
        <v xml:space="preserve"> - </v>
      </c>
      <c r="AG15" s="224"/>
      <c r="AH15" s="297"/>
      <c r="AI15" s="226"/>
      <c r="AJ15" s="224">
        <f>IF(ISNUMBER(Datos!M15),Datos!M15," - ")</f>
        <v>522</v>
      </c>
      <c r="AK15" s="228">
        <f>IF(ISNUMBER(Datos!N15),Datos!N15," - ")</f>
        <v>2420</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1.6275103163686382</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f>IF(ISNUMBER(AA17+Y17-Datos!J17-K15),AA17+Y17-Datos!J17-K15," - ")</f>
        <v>0</v>
      </c>
      <c r="G17" s="224">
        <f>IF(ISNUMBER(IF(D_I="SI",Datos!I17,Datos!I17+Datos!AC17)),IF(D_I="SI",Datos!I17,Datos!I17+Datos!AC17)," - ")</f>
        <v>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0</v>
      </c>
      <c r="Z17" s="617">
        <f>IF(ISNUMBER(Datos!Q17),Datos!Q17," - ")</f>
        <v>0</v>
      </c>
      <c r="AA17" s="331">
        <f>IF(ISNUMBER(IF(D_I="SI",Datos!L17,Datos!L17+Datos!AF17)),IF(D_I="SI",Datos!L17,Datos!L17+Datos!AF17)," - ")</f>
        <v>0</v>
      </c>
      <c r="AB17" s="333"/>
      <c r="AC17" s="333"/>
      <c r="AD17" s="483"/>
      <c r="AE17" s="483">
        <f>IF(ISNUMBER(Datos!R17),Datos!R17," - ")</f>
        <v>0</v>
      </c>
      <c r="AF17" s="228" t="str">
        <f>IF(ISNUMBER(Datos!BV17),Datos!BV17," - ")</f>
        <v xml:space="preserve"> - </v>
      </c>
      <c r="AG17" s="224"/>
      <c r="AH17" s="297"/>
      <c r="AI17" s="226"/>
      <c r="AJ17" s="224">
        <f>IF(ISNUMBER(Datos!M17),Datos!M17," - ")</f>
        <v>0</v>
      </c>
      <c r="AK17" s="228">
        <f>IF(ISNUMBER(Datos!N17),Datos!N17," - ")</f>
        <v>0</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2129</v>
      </c>
      <c r="G19" s="895">
        <f>SUBTOTAL(9,G15:G18)</f>
        <v>2123</v>
      </c>
      <c r="H19" s="927">
        <f>SUBTOTAL(9,H15:H18)</f>
        <v>0</v>
      </c>
      <c r="I19" s="908">
        <f>SUBTOTAL(9,I15:I18)</f>
        <v>0</v>
      </c>
      <c r="J19" s="864">
        <f>SUBTOTAL(9,J14:J18)</f>
        <v>0</v>
      </c>
      <c r="K19" s="927">
        <f t="shared" ref="K19:S19" si="4">SUBTOTAL(9,K15:K18)</f>
        <v>0</v>
      </c>
      <c r="L19" s="927">
        <f t="shared" si="4"/>
        <v>0</v>
      </c>
      <c r="M19" s="927">
        <f t="shared" si="4"/>
        <v>0</v>
      </c>
      <c r="N19" s="927">
        <f t="shared" si="4"/>
        <v>127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3635</v>
      </c>
      <c r="Z19" s="927">
        <f t="shared" si="5"/>
        <v>221</v>
      </c>
      <c r="AA19" s="927">
        <f t="shared" si="5"/>
        <v>1973</v>
      </c>
      <c r="AB19" s="927">
        <f t="shared" si="5"/>
        <v>0</v>
      </c>
      <c r="AC19" s="927">
        <f t="shared" si="5"/>
        <v>0</v>
      </c>
      <c r="AD19" s="927">
        <f t="shared" si="5"/>
        <v>0</v>
      </c>
      <c r="AE19" s="927">
        <f t="shared" si="5"/>
        <v>414</v>
      </c>
      <c r="AF19" s="927">
        <f t="shared" si="5"/>
        <v>0</v>
      </c>
      <c r="AG19" s="927">
        <f t="shared" si="5"/>
        <v>0</v>
      </c>
      <c r="AH19" s="927">
        <f t="shared" si="5"/>
        <v>0</v>
      </c>
      <c r="AI19" s="927">
        <f t="shared" si="5"/>
        <v>0</v>
      </c>
      <c r="AJ19" s="927">
        <f t="shared" si="5"/>
        <v>522</v>
      </c>
      <c r="AK19" s="927">
        <f t="shared" si="5"/>
        <v>2420</v>
      </c>
      <c r="AL19" s="927">
        <f t="shared" si="5"/>
        <v>0</v>
      </c>
      <c r="AM19" s="927">
        <f t="shared" si="5"/>
        <v>0</v>
      </c>
      <c r="AN19" s="927">
        <f t="shared" si="5"/>
        <v>0</v>
      </c>
      <c r="AO19" s="929">
        <f>IF(ISNUMBER(((NºAsuntos!I19/NºAsuntos!G19)*11)/factor_trimestre),((NºAsuntos!I19/NºAsuntos!G19)*11)/factor_trimestre," - ")</f>
        <v>1.6283356258596975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2131</v>
      </c>
      <c r="G20" s="817">
        <f t="shared" si="7"/>
        <v>2125</v>
      </c>
      <c r="H20" s="818">
        <f t="shared" si="7"/>
        <v>0</v>
      </c>
      <c r="I20" s="817">
        <f t="shared" si="7"/>
        <v>0</v>
      </c>
      <c r="J20" s="819">
        <f t="shared" si="7"/>
        <v>0</v>
      </c>
      <c r="K20" s="817">
        <f t="shared" si="7"/>
        <v>0</v>
      </c>
      <c r="L20" s="820">
        <f t="shared" si="7"/>
        <v>0</v>
      </c>
      <c r="M20" s="817">
        <f t="shared" si="7"/>
        <v>0</v>
      </c>
      <c r="N20" s="818">
        <f t="shared" si="7"/>
        <v>911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3635</v>
      </c>
      <c r="Z20" s="824">
        <f t="shared" si="8"/>
        <v>681</v>
      </c>
      <c r="AA20" s="825">
        <f t="shared" si="8"/>
        <v>1975</v>
      </c>
      <c r="AB20" s="825">
        <f t="shared" si="8"/>
        <v>0</v>
      </c>
      <c r="AC20" s="825">
        <f t="shared" si="8"/>
        <v>0</v>
      </c>
      <c r="AD20" s="826">
        <f t="shared" si="8"/>
        <v>0</v>
      </c>
      <c r="AE20" s="826">
        <f t="shared" si="8"/>
        <v>15705</v>
      </c>
      <c r="AF20" s="827">
        <f t="shared" si="8"/>
        <v>0</v>
      </c>
      <c r="AG20" s="828">
        <f t="shared" si="8"/>
        <v>0</v>
      </c>
      <c r="AH20" s="829">
        <f t="shared" si="8"/>
        <v>0</v>
      </c>
      <c r="AI20" s="827">
        <f t="shared" si="8"/>
        <v>0</v>
      </c>
      <c r="AJ20" s="817">
        <f t="shared" si="8"/>
        <v>2182</v>
      </c>
      <c r="AK20" s="817">
        <f t="shared" si="8"/>
        <v>4298</v>
      </c>
      <c r="AL20" s="817">
        <f t="shared" si="8"/>
        <v>0</v>
      </c>
      <c r="AM20" s="830">
        <f t="shared" si="8"/>
        <v>0</v>
      </c>
      <c r="AN20" s="820">
        <f>IF(ISNUMBER(Datos!K20/Datos!J20),Datos!K20/Datos!J20," - ")</f>
        <v>1.2682775712515491</v>
      </c>
      <c r="AO20" s="820">
        <f>IF(ISNUMBER(FIND("06",Criterios!A8,1)),(IF(ISNUMBER(((Datos!R20/Datos!Q20)*11)/factor_trimestre),((Datos!R20/Datos!Q20)*11)/factor_trimestre," - ")),(IF(ISNUMBER(((Datos!L20/Datos!K20)*11)/factor_trimestre),((Datos!L20/Datos!K20)*11)/factor_trimestre," - ")))</f>
        <v>3.4455300439667806</v>
      </c>
      <c r="AP20" s="831" t="str">
        <f>IF(ISNUMBER(Datos!CI20/Datos!CJ20),Datos!CI20/Datos!CJ20," - ")</f>
        <v xml:space="preserve"> - </v>
      </c>
      <c r="AQ20" s="831">
        <f>IF(OR(ISNUMBER(FIND("01",Criterios!A8,1)),ISNUMBER(FIND("02",Criterios!A8,1)),ISNUMBER(FIND("03",Criterios!A8,1)),ISNUMBER(FIND("04",Criterios!A8,1))),(J20-Y20+K20)/(F20-K20),(I20-Y20+K20)/(F20-K20))</f>
        <v>-1.70577193805725</v>
      </c>
      <c r="AR20" s="831">
        <f>IF(ISNUMBER((Datos!P20-Datos!Q20+O20)/(Datos!R20-Datos!P20+Datos!Q20-O20)),(Datos!P20-Datos!Q20+O20)/(Datos!R20-Datos!P20+Datos!Q20-O20)," - ")</f>
        <v>1.4862681744749596E-2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708.33333333333337</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1165.3713142170611</v>
      </c>
      <c r="G22" s="551">
        <f>IF(ISNUMBER(STDEV(G8:G19)),STDEV(G8:G19),"-")</f>
        <v>1091.9314386291232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692.29060784780677</v>
      </c>
      <c r="AK22" s="251"/>
      <c r="AL22" s="251">
        <f>IF(ISNUMBER(STDEV(AL8:AL19)),STDEV(AL8:AL19),"-")</f>
        <v>0</v>
      </c>
      <c r="AM22" s="253">
        <f>IF(ISNUMBER(STDEV(AM8:AM19)),STDEV(AM8:AM19),"-")</f>
        <v>0</v>
      </c>
      <c r="AN22" s="538">
        <f>IF(ISNUMBER(STDEV(AN8:AN19)),STDEV(AN8:AN19),"-")</f>
        <v>0</v>
      </c>
      <c r="AO22" s="539">
        <f>IF(ISNUMBER(STDEV(AO8:AO19)),STDEV(AO8:AO19),"-")</f>
        <v>3.03708700913944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Oy0nkvgd4sgUcIvNGB1VTUExvsXNMkjB2CB0crnmcHdAjsP/8dL+I1Jv6xV0n5v52btbQotJNLHbhTza4RhoGg==" saltValue="qisQ7nfMiyaeqqkea0oaa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vOkGJBDHOueH/xRFIKMUo8gUYDMFp52YzwZyE5FYLWv/yNXzkydy2z3t3KCqsZQalAz0xUpjLRvAbUjR+JIrw==" saltValue="QPVkyusfXXwTtEufIQtvR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Em3QLm4ConJR/wd1cxAjjbfM/SLAGvx8pT9WPjFBQUrXyuwGwieccNevUdnY0udN7DbIXwIrAlsU/irS1PQMA==" saltValue="beNIl53UgKTWs7oGej3ol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SAN CRISTOBAL DE LA LAGUNA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0.35050675675675674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0.24784570455440641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MD602KG5EHW+8FMCqSTUpl22coT4uEX+pYjJu4luHuYnhE1StA4DKLFW/gp14tywXDldLjMFexFwSqpxLM0J6g==" saltValue="mednWKKHE5OtL2ihUC7Y7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p1FJni4JoB6RngTW875PJKMP+Pigb2JOeY3wRiNnBqS7T66w+V/0sYEffUrhMfU00lg0xEOcplUFHkCkqXC/Q==" saltValue="HwRkQYPpCZBCIi2IRc7Sb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SANTA CRUZ DE TENERIFE  Resumenes por Partidos Judiciales  SAN CRISTOBAL DE LA LAGUNA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7</v>
      </c>
      <c r="B9" s="500" t="s">
        <v>247</v>
      </c>
      <c r="C9" s="159" t="str">
        <f>Datos!A9</f>
        <v>Sección Civil del T.I</v>
      </c>
      <c r="D9" s="501"/>
      <c r="E9" s="679">
        <f>IF(ISNUMBER(Datos!AQ9),Datos!AQ9," - ")</f>
        <v>7</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v>
      </c>
      <c r="B11" s="506" t="s">
        <v>247</v>
      </c>
      <c r="C11" s="7" t="str">
        <f>Datos!A11</f>
        <v xml:space="preserve">Sección de Familia, infancia y capacidad del TI                           </v>
      </c>
      <c r="D11" s="507"/>
      <c r="E11" s="679">
        <f>IF(ISNUMBER(Datos!AQ11),Datos!AQ11," - ")</f>
        <v>1</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0</v>
      </c>
      <c r="AE13" s="934">
        <f t="shared" si="1"/>
        <v>0</v>
      </c>
      <c r="AF13" s="934">
        <f t="shared" si="1"/>
        <v>2</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f t="shared" si="1"/>
        <v>0</v>
      </c>
      <c r="AP13" s="939">
        <f>IF(ISNUMBER(((Datos!L13/Datos!K13)*11)/factor_trimestre),((Datos!L13/Datos!K13)*11)/factor_trimestre," - ")</f>
        <v>4.8963320887327049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1.6283356258596975</v>
      </c>
      <c r="AQ19" s="939">
        <f>IF(ISNUMBER(((Datos!M19/Datos!L19)*11)/factor_trimestre),((Datos!M19/Datos!L19)*11)/factor_trimestre," - ")</f>
        <v>0.79371515458692354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-0.18503937007874016</v>
      </c>
      <c r="AW19" s="941">
        <f>IF(ISNUMBER((Datos!Q19-Datos!R19)/(Datos!S19-Datos!Q19+Datos!R19)),(Datos!Q19-Datos!R19)/(Datos!S19-Datos!Q19+Datos!R19)," - ")</f>
        <v>-9.0271281571562209E-2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0</v>
      </c>
      <c r="AE20" s="952">
        <f t="shared" si="5"/>
        <v>0</v>
      </c>
      <c r="AF20" s="953">
        <f t="shared" si="5"/>
        <v>2</v>
      </c>
      <c r="AG20" s="953">
        <f t="shared" si="5"/>
        <v>0</v>
      </c>
      <c r="AH20" s="953">
        <f t="shared" si="5"/>
        <v>0</v>
      </c>
      <c r="AI20" s="953">
        <f t="shared" si="5"/>
        <v>0</v>
      </c>
      <c r="AJ20" s="954">
        <f t="shared" si="5"/>
        <v>0</v>
      </c>
      <c r="AK20" s="954">
        <f t="shared" si="5"/>
        <v>0</v>
      </c>
      <c r="AL20" s="946">
        <f t="shared" si="5"/>
        <v>0</v>
      </c>
      <c r="AM20" s="946">
        <f t="shared" si="5"/>
        <v>0</v>
      </c>
      <c r="AN20" s="946">
        <f t="shared" si="5"/>
        <v>0</v>
      </c>
      <c r="AO20" s="946">
        <f t="shared" si="5"/>
        <v>0</v>
      </c>
      <c r="AP20" s="946">
        <f>IF(ISNUMBER(((Datos!L20/Datos!K20)*11)/factor_trimestre),((Datos!L20/Datos!K20)*11)/factor_trimestre," - ")</f>
        <v>3.4455300439667806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1.4862681744749596E-2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3.7771241264574122</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0</v>
      </c>
      <c r="AM22" s="733"/>
      <c r="AN22" s="733">
        <f>IF(ISNUMBER(STDEV(AN8:AN19)),STDEV(AN8:AN19),"-")</f>
        <v>0</v>
      </c>
      <c r="AO22" s="739">
        <f>IF(ISNUMBER(STDEV(AO8:AO19)),STDEV(AO8:AO19),"-")</f>
        <v>0</v>
      </c>
      <c r="AP22" s="776">
        <f>IF(ISNUMBER(STDEV(AP8:AP19)),STDEV(AP8:AP19),"-")</f>
        <v>2.3108224597911557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xdOQHurR94SopfnkXq7mGyAopbZOAri313TxPY6/6ybR93CqzMwfzABMi5vfXJkh7I+crBQo0G4ptCM50uxZpw==" saltValue="UKwzFOX+DSLRm77/FRKA0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SANTA CRUZ DE TENERIFE  Resumenes por Partidos Judiciales  SAN CRISTOBAL DE LA LAGUNA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91</v>
      </c>
      <c r="O9" s="333"/>
      <c r="P9" s="333"/>
      <c r="Q9" s="225">
        <f>IF(ISNUMBER(Datos!P9),Datos!P9,0)</f>
        <v>776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458</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122</v>
      </c>
      <c r="AI9" s="224" t="str">
        <f>IF(ISNUMBER(Datos!CD9),Datos!CD9,"-")</f>
        <v>-</v>
      </c>
      <c r="AJ9" s="224" t="str">
        <f>IF(ISNUMBER(Datos!EN9),Datos!EN9," - ")</f>
        <v xml:space="preserve"> - </v>
      </c>
      <c r="AK9" s="333"/>
      <c r="AL9" s="478"/>
      <c r="AM9" s="224">
        <f>IF(ISNUMBER(Datos!R9),Datos!R9," - ")</f>
        <v>15206</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1557</v>
      </c>
      <c r="BD9" s="228">
        <f>IF(ISNUMBER(Datos!N9),Datos!N9," - ")</f>
        <v>1803</v>
      </c>
      <c r="BE9" s="224" t="str">
        <f>IF(ISNUMBER(Datos!BW9),Datos!BW9," - ")</f>
        <v xml:space="preserve"> - </v>
      </c>
      <c r="BF9" s="224" t="str">
        <f>IF(ISNUMBER(Datos!BX9),Datos!BX9," - ")</f>
        <v xml:space="preserve"> - </v>
      </c>
      <c r="BG9" s="242">
        <f>IF(ISNUMBER(IF(J_V="SI",Datos!K9/Datos!J9,(Datos!K9+Datos!AA9)/(Datos!J9+Datos!Z9))),IF(J_V="SI",Datos!K9/Datos!J9,(Datos!K9+Datos!AA9)/(Datos!J9+Datos!Z9))," - ")</f>
        <v>1.5884438142502659</v>
      </c>
      <c r="BH9" s="224">
        <f>IF(ISNUMBER(((IF(J_V="SI",Datos!L9/Datos!K9,(Datos!L9+Datos!AB9)/(Datos!K9+Datos!AA9)))*11)/factor_trimestre),((IF(J_V="SI",Datos!L9/Datos!K9,(Datos!L9+Datos!AB9)/(Datos!K9+Datos!AA9)))*11)/factor_trimestre," - ")</f>
        <v>4.6288774827047536</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2.1359484148307361E-2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1162.0096298601691</v>
      </c>
      <c r="CF9" s="228">
        <f ca="1">AVERAGEIFS($AB:$AB,$BW:$BW,BW9,$BX:$BX,BX9)</f>
        <v>1162.0096298601691</v>
      </c>
      <c r="CG9" s="1191">
        <v>0.7</v>
      </c>
      <c r="CH9" s="1191">
        <f ca="1">AVERAGEIF($BW:$BW,$BW9,$AC:$AC)</f>
        <v>170.25</v>
      </c>
      <c r="CI9" s="228">
        <f ca="1">AVERAGEIFS($AC:$AC,$BW:$BW,$BW9,$BX:$BX,$BX9)</f>
        <v>170.25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592.5</v>
      </c>
      <c r="CR9" s="228">
        <f ca="1">AVERAGEIFS($AF:$AF,$BW:$BW,BW9,$BX:$BX,BX9)</f>
        <v>592.5</v>
      </c>
      <c r="CS9" s="1191">
        <v>1.3</v>
      </c>
      <c r="CT9" s="1191">
        <v>1.5</v>
      </c>
      <c r="CU9" s="1191">
        <f ca="1">AVERAGEIF($BW:$BW,$BW9,$AH:$AH)</f>
        <v>94.125</v>
      </c>
      <c r="CV9" s="228">
        <f ca="1">AVERAGEIFS($AH:$AH,$BW:$BW,$BW9,$BX:$BX,$BX9)</f>
        <v>94.125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3926.25</v>
      </c>
      <c r="DH9" s="228">
        <f ca="1">AVERAGEIFS($AM:$AM,$BW:$BW,$BW9,$BX:$BX,$BX9)</f>
        <v>3926.25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2.8276743831802804</v>
      </c>
      <c r="ER9" s="228">
        <f ca="1">AVERAGEIFS($BH:$BH,$BW:$BW,$BW9,$BX:$BX,$BX9)</f>
        <v>2.8276743831802804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2</v>
      </c>
      <c r="AD10" s="224"/>
      <c r="AE10" s="224"/>
      <c r="AF10" s="224">
        <f>IF(ISNUMBER(Datos!L10),Datos!L10,"-")</f>
        <v>2</v>
      </c>
      <c r="AG10" s="333"/>
      <c r="AH10" s="224"/>
      <c r="AI10" s="224"/>
      <c r="AJ10" s="224"/>
      <c r="AK10" s="333"/>
      <c r="AL10" s="478"/>
      <c r="AM10" s="224">
        <f>IF(ISNUMBER(Datos!R10),Datos!R10," - ")</f>
        <v>64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-3.0303030303030304E-2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1162.0096298601691</v>
      </c>
      <c r="CF10" s="228">
        <f ca="1">AVERAGEIFS($AB:$AB,$BW:$BW,BW10,$BX:$BX,BX10)</f>
        <v>1162.0096298601691</v>
      </c>
      <c r="CG10" s="1191">
        <v>0.7</v>
      </c>
      <c r="CH10" s="1191">
        <f ca="1">AVERAGEIF($BW:$BW,BW10,$AC:$AC)</f>
        <v>170.25</v>
      </c>
      <c r="CI10" s="228">
        <f ca="1">AVERAGEIFS($AC:$AC,$BW:$BW,BW10,$BX:$BX,BX10)</f>
        <v>170.25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592.5</v>
      </c>
      <c r="CR10" s="228">
        <f ca="1">AVERAGEIFS($AF:$AF,$BW:$BW,BW10,$BX:$BX,BX10)</f>
        <v>592.5</v>
      </c>
      <c r="CS10" s="1191">
        <v>1.3</v>
      </c>
      <c r="CT10" s="1191">
        <v>1.5</v>
      </c>
      <c r="CU10" s="1191">
        <f ca="1">AVERAGEIF($BW:$BW,$BW10,$AH:$AH)</f>
        <v>94.125</v>
      </c>
      <c r="CV10" s="228">
        <f ca="1">AVERAGEIFS($AH:$AH,$BW:$BW,$BW10,$BX:$BX,$BX10)</f>
        <v>94.125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3926.25</v>
      </c>
      <c r="DH10" s="228">
        <f ca="1">AVERAGEIFS($AM:$AM,$BW:$BW,$BW10,$BX:$BX,$BX10)</f>
        <v>3926.25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2.8276743831802804</v>
      </c>
      <c r="ER10" s="228">
        <f ca="1">AVERAGEIFS($BH:$BH,$BW:$BW,$BW10,$BX:$BX,$BX10)</f>
        <v>2.8276743831802804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89</v>
      </c>
      <c r="O11" s="333"/>
      <c r="P11" s="333"/>
      <c r="Q11" s="225">
        <f>IF(ISNUMBER(Datos!P11),Datos!P11,0)</f>
        <v>8</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0</v>
      </c>
      <c r="AD11" s="224"/>
      <c r="AE11" s="224"/>
      <c r="AF11" s="224" t="str">
        <f>IF(ISNUMBER(IF(J_V="SI",Datos!L11,Datos!L11+Datos!AB11)-IF(Monitorios="SI",Datos!CD11,0)),
                          IF(J_V="SI",Datos!L11,Datos!L11+Datos!AB11)-IF(Monitorios="SI",Datos!CD11,0),
                          " - ")</f>
        <v xml:space="preserve"> - </v>
      </c>
      <c r="AG11" s="333"/>
      <c r="AH11" s="224">
        <f>IF(ISNUMBER(Datos!AB11),Datos!AB11,"-")</f>
        <v>129</v>
      </c>
      <c r="AI11" s="224"/>
      <c r="AJ11" s="224"/>
      <c r="AK11" s="333"/>
      <c r="AL11" s="478"/>
      <c r="AM11" s="224">
        <f>IF(ISNUMBER(Datos!R11),Datos!R11," - ")</f>
        <v>21</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103</v>
      </c>
      <c r="BD11" s="228">
        <f>IF(ISNUMBER(Datos!N11),Datos!N11," - ")</f>
        <v>75</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0.75667655786350152</v>
      </c>
      <c r="BH11" s="224">
        <f>IF(ISNUMBER(((IF(J_V="SI",Datos!L11/Datos!K11,(Datos!L11+Datos!AB11)/(Datos!K11+Datos!AA11)))*11)/factor_trimestre),((IF(J_V="SI",Datos!L11/Datos!K11,(Datos!L11+Datos!AB11)/(Datos!K11+Datos!AA11)))*11)/factor_trimestre," - ")</f>
        <v>9.0117647058823547</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0.61538461538461542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1162.0096298601691</v>
      </c>
      <c r="CF11" s="228">
        <f ca="1">AVERAGEIFS($AB:$AB,$BW:$BW,BW11,$BX:$BX,BX11)</f>
        <v>1162.0096298601691</v>
      </c>
      <c r="CG11" s="1191">
        <v>0.7</v>
      </c>
      <c r="CH11" s="1191">
        <f ca="1">AVERAGEIF($BW:$BW,BW11,$AC:$AC)</f>
        <v>170.25</v>
      </c>
      <c r="CI11" s="228">
        <f ca="1">AVERAGEIFS($AC:$AC,$BW:$BW,BW11,$BX:$BX,BX11)</f>
        <v>170.25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592.5</v>
      </c>
      <c r="CR11" s="228">
        <f ca="1">AVERAGEIFS($AF:$AF,$BW:$BW,BW11,$BX:$BX,BX11)</f>
        <v>592.5</v>
      </c>
      <c r="CS11" s="1191">
        <v>1.3</v>
      </c>
      <c r="CT11" s="1191">
        <v>1.5</v>
      </c>
      <c r="CU11" s="1191">
        <f ca="1">AVERAGEIF($BW:$BW,$BW11,$AH:$AH)</f>
        <v>94.125</v>
      </c>
      <c r="CV11" s="228">
        <f ca="1">AVERAGEIFS($AH:$AH,$BW:$BW,$BW11,$BX:$BX,$BX11)</f>
        <v>94.125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3926.25</v>
      </c>
      <c r="DH11" s="228">
        <f ca="1">AVERAGEIFS($AM:$AM,$BW:$BW,$BW11,$BX:$BX,$BX11)</f>
        <v>3926.25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2.8276743831802804</v>
      </c>
      <c r="ER11" s="228">
        <f ca="1">AVERAGEIFS($BH:$BH,$BW:$BW,$BW11,$BX:$BX,$BX11)</f>
        <v>2.8276743831802804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1162.0096298601691</v>
      </c>
      <c r="CF12" s="228">
        <f ca="1">AVERAGEIFS($AB:$AB,$BW:$BW,BW12,$BX:$BX,BX12)</f>
        <v>1162.0096298601691</v>
      </c>
      <c r="CG12" s="1191">
        <v>0.7</v>
      </c>
      <c r="CH12" s="1191">
        <f ca="1">AVERAGEIF($BW:$BW,BW12,$AC:$AC)</f>
        <v>170.25</v>
      </c>
      <c r="CI12" s="228">
        <f ca="1">AVERAGEIFS($AC:$AC,$BW:$BW,BW12,$BX:$BX,BX12)</f>
        <v>170.25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592.5</v>
      </c>
      <c r="CR12" s="228">
        <f ca="1">AVERAGEIFS($AF:$AF,$BW:$BW,BW12,$BX:$BX,BX12)</f>
        <v>592.5</v>
      </c>
      <c r="CS12" s="1191">
        <v>1.3</v>
      </c>
      <c r="CT12" s="1191">
        <v>1.5</v>
      </c>
      <c r="CU12" s="1191">
        <f ca="1">AVERAGEIF($BW:$BW,$BW12,$AH:$AH)</f>
        <v>94.125</v>
      </c>
      <c r="CV12" s="228">
        <f ca="1">AVERAGEIFS($AH:$AH,$BW:$BW,$BW12,$BX:$BX,$BX12)</f>
        <v>94.125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3926.25</v>
      </c>
      <c r="DH12" s="228">
        <f ca="1">AVERAGEIFS($AM:$AM,$BW:$BW,$BW12,$BX:$BX,$BX12)</f>
        <v>3926.25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2.8276743831802804</v>
      </c>
      <c r="ER12" s="228">
        <f ca="1">AVERAGEIFS($BH:$BH,$BW:$BW,$BW12,$BX:$BX,$BX12)</f>
        <v>2.8276743831802804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180</v>
      </c>
      <c r="O13" s="897">
        <f t="shared" si="1"/>
        <v>0</v>
      </c>
      <c r="P13" s="897">
        <f t="shared" si="1"/>
        <v>0</v>
      </c>
      <c r="Q13" s="896">
        <f t="shared" si="1"/>
        <v>784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460</v>
      </c>
      <c r="AD13" s="896">
        <f t="shared" si="2"/>
        <v>0</v>
      </c>
      <c r="AE13" s="896">
        <f t="shared" si="2"/>
        <v>0</v>
      </c>
      <c r="AF13" s="896">
        <f t="shared" si="2"/>
        <v>2</v>
      </c>
      <c r="AG13" s="896">
        <f t="shared" si="2"/>
        <v>0</v>
      </c>
      <c r="AH13" s="896">
        <f t="shared" si="2"/>
        <v>251</v>
      </c>
      <c r="AI13" s="896">
        <f t="shared" si="2"/>
        <v>0</v>
      </c>
      <c r="AJ13" s="896">
        <f t="shared" si="2"/>
        <v>0</v>
      </c>
      <c r="AK13" s="896">
        <f t="shared" si="2"/>
        <v>0</v>
      </c>
      <c r="AL13" s="896">
        <f t="shared" si="2"/>
        <v>0</v>
      </c>
      <c r="AM13" s="896">
        <f t="shared" si="2"/>
        <v>15291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1660</v>
      </c>
      <c r="BD13" s="896">
        <f t="shared" si="2"/>
        <v>1878</v>
      </c>
      <c r="BE13" s="896">
        <f t="shared" si="2"/>
        <v>0</v>
      </c>
      <c r="BF13" s="896">
        <f t="shared" si="2"/>
        <v>0</v>
      </c>
      <c r="BG13" s="896">
        <f>IF(ISNUMBER(Datos!K13/Datos!J13),Datos!K13/Datos!J13," - ")</f>
        <v>1.5288784419073203</v>
      </c>
      <c r="BH13" s="900">
        <f>IF(ISNUMBER(((Datos!L13/Datos!K13)*11)/factor_trimestre),((Datos!L13/Datos!K13)*11)/factor_trimestre," - ")</f>
        <v>4.8963320887327049</v>
      </c>
      <c r="BI13" s="896">
        <f>IF(ISNUMBER('Resol  Asuntos'!D13/NºAsuntos!G13),'Resol  Asuntos'!D13/NºAsuntos!G13," - ")</f>
        <v>0.35050675675675674</v>
      </c>
      <c r="BJ13" s="896" t="str">
        <f>IF(ISNUMBER(Datos!CI13/Datos!CJ13),Datos!CI13/Datos!CJ13," - ")</f>
        <v xml:space="preserve"> - </v>
      </c>
      <c r="BK13" s="896">
        <f>SUBTOTAL(9,BK8:BK12)</f>
        <v>0</v>
      </c>
      <c r="BL13" s="896">
        <f>IF(ISNUMBER((I13-AB13+L13)/(F13)),(I13-AB13+L13)/(F13)," - ")</f>
        <v>0</v>
      </c>
      <c r="BM13" s="901">
        <f>SUBTOTAL(9,BM9:BM12)</f>
        <v>0.60644106922989249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2129</v>
      </c>
      <c r="G15" s="596">
        <f>IF(ISNUMBER(IF(D_I="SI",Datos!I15,Datos!I15+Datos!AC15)),IF(D_I="SI",Datos!I15,Datos!I15+Datos!AC15)," - ")</f>
        <v>2113</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127</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3635</v>
      </c>
      <c r="AC15" s="224">
        <f>IF(ISNUMBER(Datos!Q15),Datos!Q15," - ")</f>
        <v>221</v>
      </c>
      <c r="AD15" s="224"/>
      <c r="AE15" s="224"/>
      <c r="AF15" s="224">
        <f>IF(ISNUMBER(IF(D_I="SI",Datos!L15,Datos!L15+Datos!AF15)),IF(D_I="SI",Datos!L15,Datos!L15+Datos!AF15)," - ")</f>
        <v>1972</v>
      </c>
      <c r="AG15" s="333"/>
      <c r="AH15" s="224"/>
      <c r="AI15" s="224"/>
      <c r="AJ15" s="224"/>
      <c r="AK15" s="333"/>
      <c r="AL15" s="478"/>
      <c r="AM15" s="224">
        <f>IF(ISNUMBER(Datos!R15),Datos!R15," - ")</f>
        <v>414</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522</v>
      </c>
      <c r="BD15" s="228">
        <f>IF(ISNUMBER(Datos!N15),Datos!N15," - ")</f>
        <v>2420</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1.0451408855664175</v>
      </c>
      <c r="BH15" s="224">
        <f>IF(ISNUMBER(((IF(D_I="SI",Datos!L15/Datos!K15,(Datos!L15+Datos!AF15)/(Datos!K15+Datos!AE15)))*11)/factor_trimestre),((IF(D_I="SI",Datos!L15/Datos!K15,(Datos!L15+Datos!AF15)/(Datos!K15+Datos!AE15)))*11)/factor_trimestre," - ")</f>
        <v>1.6275103163686382</v>
      </c>
      <c r="BI15" s="242">
        <f>IF(ISNUMBER('Resol  Asuntos'!D15/NºAsuntos!G15),'Resol  Asuntos'!D15/NºAsuntos!G15," - ")</f>
        <v>0.14360385144429161</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1162.0096298601691</v>
      </c>
      <c r="CF15" s="228">
        <f ca="1">AVERAGEIFS($AB:$AB,$BW:$BW,BW15,$BX:$BX,BX15)</f>
        <v>1162.0096298601691</v>
      </c>
      <c r="CG15" s="1191">
        <v>0.7</v>
      </c>
      <c r="CH15" s="1191">
        <f ca="1">AVERAGEIF($BW:$BW,BW15,$AC:$AC)</f>
        <v>170.25</v>
      </c>
      <c r="CI15" s="228">
        <f ca="1">AVERAGEIFS($AC:$AC,$BW:$BW,BW15,$BX:$BX,BX15)</f>
        <v>170.25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592.5</v>
      </c>
      <c r="CR15" s="228">
        <f ca="1">AVERAGEIFS($AF:$AF,$BW:$BW,BW15,$BX:$BX,BX15)</f>
        <v>592.5</v>
      </c>
      <c r="CS15" s="1191">
        <v>1.3</v>
      </c>
      <c r="CT15" s="1191">
        <v>1.5</v>
      </c>
      <c r="CU15" s="1191">
        <f ca="1">AVERAGEIF($BW:$BW,$BW15,$AH:$AH)</f>
        <v>94.125</v>
      </c>
      <c r="CV15" s="228">
        <f ca="1">AVERAGEIFS($AH:$AH,$BW:$BW,$BW15,$BX:$BX,$BX15)</f>
        <v>94.125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3926.25</v>
      </c>
      <c r="DH15" s="228">
        <f ca="1">AVERAGEIFS($AM:$AM,$BW:$BW,$BW15,$BX:$BX,$BX15)</f>
        <v>3926.25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2.8276743831802804</v>
      </c>
      <c r="ER15" s="228">
        <f ca="1">AVERAGEIFS($BH:$BH,$BW:$BW,$BW15,$BX:$BX,$BX15)</f>
        <v>2.8276743831802804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1162.0096298601691</v>
      </c>
      <c r="CF16" s="228">
        <f ca="1">AVERAGEIFS($AB:$AB,$BW:$BW,BW16,$BX:$BX,BX16)</f>
        <v>1162.0096298601691</v>
      </c>
      <c r="CG16" s="1191">
        <v>0.7</v>
      </c>
      <c r="CH16" s="1191">
        <f ca="1">AVERAGEIF($BW:$BW,BW16,$AC:$AC)</f>
        <v>170.25</v>
      </c>
      <c r="CI16" s="228">
        <f ca="1">AVERAGEIFS($AC:$AC,$BW:$BW,BW16,$BX:$BX,BX16)</f>
        <v>170.25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592.5</v>
      </c>
      <c r="CR16" s="228">
        <f ca="1">AVERAGEIFS($AF:$AF,$BW:$BW,BW16,$BX:$BX,BX16)</f>
        <v>592.5</v>
      </c>
      <c r="CS16" s="1191">
        <v>1.3</v>
      </c>
      <c r="CT16" s="1191">
        <v>1.5</v>
      </c>
      <c r="CU16" s="1191">
        <f ca="1">AVERAGEIF($BW:$BW,$BW16,$AH:$AH)</f>
        <v>94.125</v>
      </c>
      <c r="CV16" s="228">
        <f ca="1">AVERAGEIFS($AH:$AH,$BW:$BW,$BW16,$BX:$BX,$BX16)</f>
        <v>94.125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3926.25</v>
      </c>
      <c r="DH16" s="228">
        <f ca="1">AVERAGEIFS($AM:$AM,$BW:$BW,$BW16,$BX:$BX,$BX16)</f>
        <v>3926.25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2.8276743831802804</v>
      </c>
      <c r="ER16" s="228">
        <f ca="1">AVERAGEIFS($BH:$BH,$BW:$BW,$BW16,$BX:$BX,$BX16)</f>
        <v>2.8276743831802804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0</v>
      </c>
      <c r="G17" s="596">
        <f>IF(ISNUMBER(IF(D_I="SI",Datos!I17,Datos!I17+Datos!AC17)),IF(D_I="SI",Datos!I17,Datos!I17+Datos!AC17)," - ")</f>
        <v>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0</v>
      </c>
      <c r="AC17" s="224">
        <f>IF(ISNUMBER(Datos!Q17),Datos!Q17," - ")</f>
        <v>0</v>
      </c>
      <c r="AD17" s="224"/>
      <c r="AE17" s="224"/>
      <c r="AF17" s="224">
        <f>IF(ISNUMBER(IF(D_I="SI",Datos!L17,Datos!L17+Datos!AF17)),IF(D_I="SI",Datos!L17,Datos!L17+Datos!AF17)," - ")</f>
        <v>0</v>
      </c>
      <c r="AG17" s="333"/>
      <c r="AH17" s="224"/>
      <c r="AI17" s="224"/>
      <c r="AJ17" s="224"/>
      <c r="AK17" s="333"/>
      <c r="AL17" s="478"/>
      <c r="AM17" s="224">
        <f>IF(ISNUMBER(Datos!R17),Datos!R17," - ")</f>
        <v>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0</v>
      </c>
      <c r="BD17" s="228">
        <f>IF(ISNUMBER(Datos!N17),Datos!N17," - ")</f>
        <v>0</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1162.0096298601691</v>
      </c>
      <c r="CF17" s="228">
        <f ca="1">AVERAGEIFS($AB:$AB,$BW:$BW,BW17,$BX:$BX,BX17)</f>
        <v>1162.0096298601691</v>
      </c>
      <c r="CG17" s="1191">
        <v>0.7</v>
      </c>
      <c r="CH17" s="1191">
        <f ca="1">AVERAGEIF($BW:$BW,BW17,$AC:$AC)</f>
        <v>170.25</v>
      </c>
      <c r="CI17" s="228">
        <f ca="1">AVERAGEIFS($AC:$AC,$BW:$BW,BW17,$BX:$BX,BX17)</f>
        <v>170.25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592.5</v>
      </c>
      <c r="CR17" s="228">
        <f ca="1">AVERAGEIFS($AF:$AF,$BW:$BW,BW17,$BX:$BX,BX17)</f>
        <v>592.5</v>
      </c>
      <c r="CS17" s="1191">
        <v>1.3</v>
      </c>
      <c r="CT17" s="1191">
        <v>1.5</v>
      </c>
      <c r="CU17" s="1191">
        <f ca="1">AVERAGEIF($BW:$BW,$BW17,$AH:$AH)</f>
        <v>94.125</v>
      </c>
      <c r="CV17" s="228">
        <f ca="1">AVERAGEIFS($AH:$AH,$BW:$BW,$BW17,$BX:$BX,$BX17)</f>
        <v>94.125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3926.25</v>
      </c>
      <c r="DH17" s="228">
        <f ca="1">AVERAGEIFS($AM:$AM,$BW:$BW,$BW17,$BX:$BX,$BX17)</f>
        <v>3926.25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2.8276743831802804</v>
      </c>
      <c r="ER17" s="228">
        <f ca="1">AVERAGEIFS($BH:$BH,$BW:$BW,$BW17,$BX:$BX,$BX17)</f>
        <v>2.8276743831802804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1162.0096298601691</v>
      </c>
      <c r="CF18" s="228">
        <f ca="1">AVERAGEIFS($AB:$AB,$BW:$BW,BW18,$BX:$BX,BX18)</f>
        <v>1162.0096298601691</v>
      </c>
      <c r="CG18" s="1191">
        <v>0.7</v>
      </c>
      <c r="CH18" s="1191">
        <f ca="1">AVERAGEIF($BW:$BW,BW18,$AC:$AC)</f>
        <v>170.25</v>
      </c>
      <c r="CI18" s="228">
        <f ca="1">AVERAGEIFS($AC:$AC,$BW:$BW,BW18,$BX:$BX,BX18)</f>
        <v>170.25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592.5</v>
      </c>
      <c r="CR18" s="228">
        <f ca="1">AVERAGEIFS($AF:$AF,$BW:$BW,BW18,$BX:$BX,BX18)</f>
        <v>592.5</v>
      </c>
      <c r="CS18" s="1191">
        <v>1.3</v>
      </c>
      <c r="CT18" s="1191">
        <v>1.5</v>
      </c>
      <c r="CU18" s="1191">
        <f ca="1">AVERAGEIF($BW:$BW,$BW18,$AH:$AH)</f>
        <v>94.125</v>
      </c>
      <c r="CV18" s="228">
        <f ca="1">AVERAGEIFS($AH:$AH,$BW:$BW,$BW18,$BX:$BX,$BX18)</f>
        <v>94.125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3926.25</v>
      </c>
      <c r="DH18" s="228">
        <f ca="1">AVERAGEIFS($AM:$AM,$BW:$BW,$BW18,$BX:$BX,$BX18)</f>
        <v>3926.25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2.8276743831802804</v>
      </c>
      <c r="ER18" s="228">
        <f ca="1">AVERAGEIFS($BH:$BH,$BW:$BW,$BW18,$BX:$BX,$BX18)</f>
        <v>2.8276743831802804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2129</v>
      </c>
      <c r="G19" s="895">
        <f>SUBTOTAL(9,G15:G18)</f>
        <v>2123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127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3635</v>
      </c>
      <c r="AC19" s="896">
        <f t="shared" si="5"/>
        <v>221</v>
      </c>
      <c r="AD19" s="896">
        <f t="shared" si="5"/>
        <v>0</v>
      </c>
      <c r="AE19" s="896">
        <f t="shared" si="5"/>
        <v>0</v>
      </c>
      <c r="AF19" s="896">
        <f t="shared" si="5"/>
        <v>1973</v>
      </c>
      <c r="AG19" s="896">
        <f t="shared" si="5"/>
        <v>0</v>
      </c>
      <c r="AH19" s="896">
        <f t="shared" si="5"/>
        <v>0</v>
      </c>
      <c r="AI19" s="896">
        <f t="shared" si="5"/>
        <v>0</v>
      </c>
      <c r="AJ19" s="896">
        <f t="shared" si="5"/>
        <v>0</v>
      </c>
      <c r="AK19" s="896">
        <f t="shared" si="5"/>
        <v>0</v>
      </c>
      <c r="AL19" s="896">
        <f t="shared" si="5"/>
        <v>0</v>
      </c>
      <c r="AM19" s="896">
        <f t="shared" si="5"/>
        <v>414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522</v>
      </c>
      <c r="BD19" s="896">
        <f t="shared" si="5"/>
        <v>2420</v>
      </c>
      <c r="BE19" s="896">
        <f t="shared" si="5"/>
        <v>0</v>
      </c>
      <c r="BF19" s="896">
        <f t="shared" si="5"/>
        <v>0</v>
      </c>
      <c r="BG19" s="896">
        <f>IF(ISNUMBER(Datos!K19/Datos!J19),Datos!K19/Datos!J19," - ")</f>
        <v>1.0451408855664175</v>
      </c>
      <c r="BH19" s="900">
        <f>IF(ISNUMBER(((Datos!L19/Datos!K19)*11)/factor_trimestre),((Datos!L19/Datos!K19)*11)/factor_trimestre," - ")</f>
        <v>1.6283356258596975</v>
      </c>
      <c r="BI19" s="896">
        <f>SUBTOTAL(9,BI15:BI18)</f>
        <v>0.14360385144429161</v>
      </c>
      <c r="BJ19" s="896">
        <f>SUBTOTAL(9,BJ15:BJ18)</f>
        <v>0</v>
      </c>
      <c r="BK19" s="896">
        <f>SUBTOTAL(9,BK15:BK18)</f>
        <v>0</v>
      </c>
      <c r="BL19" s="896">
        <f>IF(ISNUMBER((I19-AB19+L19)/(F19)),(I19-AB19+L19)/(F19)," - ")</f>
        <v>-1.7073743541568811</v>
      </c>
      <c r="BM19" s="902">
        <f>IF(ISNUMBER((Datos!P19-Datos!Q19)/(Datos!R19-Datos!P19+Datos!Q19)),(Datos!P19-Datos!Q19)/(Datos!R19-Datos!P19+Datos!Q19)," - ")</f>
        <v>-0.18503937007874016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2131</v>
      </c>
      <c r="G20" s="817">
        <f t="shared" si="7"/>
        <v>2125</v>
      </c>
      <c r="H20" s="819">
        <f t="shared" si="7"/>
        <v>0</v>
      </c>
      <c r="I20" s="817">
        <f t="shared" si="7"/>
        <v>0</v>
      </c>
      <c r="J20" s="819">
        <f t="shared" si="7"/>
        <v>0</v>
      </c>
      <c r="K20" s="819">
        <f t="shared" si="7"/>
        <v>0</v>
      </c>
      <c r="L20" s="878">
        <f t="shared" si="7"/>
        <v>0</v>
      </c>
      <c r="M20" s="878">
        <f t="shared" si="7"/>
        <v>0</v>
      </c>
      <c r="N20" s="878">
        <f t="shared" si="7"/>
        <v>180</v>
      </c>
      <c r="O20" s="878">
        <f t="shared" si="7"/>
        <v>0</v>
      </c>
      <c r="P20" s="878">
        <f t="shared" si="7"/>
        <v>0</v>
      </c>
      <c r="Q20" s="819">
        <f t="shared" si="7"/>
        <v>911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3635</v>
      </c>
      <c r="AC20" s="818">
        <f t="shared" si="8"/>
        <v>681</v>
      </c>
      <c r="AD20" s="818">
        <f t="shared" si="8"/>
        <v>0</v>
      </c>
      <c r="AE20" s="818">
        <f t="shared" si="8"/>
        <v>0</v>
      </c>
      <c r="AF20" s="825">
        <f t="shared" si="8"/>
        <v>1975</v>
      </c>
      <c r="AG20" s="825">
        <f t="shared" si="8"/>
        <v>0</v>
      </c>
      <c r="AH20" s="825">
        <f t="shared" si="8"/>
        <v>251</v>
      </c>
      <c r="AI20" s="825">
        <f t="shared" si="8"/>
        <v>0</v>
      </c>
      <c r="AJ20" s="818">
        <f t="shared" si="8"/>
        <v>0</v>
      </c>
      <c r="AK20" s="825">
        <f t="shared" si="8"/>
        <v>0</v>
      </c>
      <c r="AL20" s="825">
        <f t="shared" si="8"/>
        <v>0</v>
      </c>
      <c r="AM20" s="825">
        <f t="shared" si="8"/>
        <v>15705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2182</v>
      </c>
      <c r="BD20" s="817">
        <f t="shared" si="8"/>
        <v>4298</v>
      </c>
      <c r="BE20" s="817">
        <f t="shared" si="8"/>
        <v>0</v>
      </c>
      <c r="BF20" s="827">
        <f t="shared" si="8"/>
        <v>0</v>
      </c>
      <c r="BG20" s="912">
        <f>IF(ISNUMBER(Datos!K20/Datos!J20),Datos!K20/Datos!J20," - ")</f>
        <v>1.2682775712515491</v>
      </c>
      <c r="BH20" s="912">
        <f>IF(ISNUMBER(((Datos!L20/Datos!K20)*11)/factor_trimestre),((Datos!L20/Datos!K20)*11)/factor_trimestre," - ")</f>
        <v>3.4455300439667806</v>
      </c>
      <c r="BI20" s="810">
        <f>IF(ISNUMBER(Datos!J20/Datos!I20),Datos!J20/Datos!I20," - ")</f>
        <v>0.57974137931034486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-1.70577193805725</v>
      </c>
      <c r="BM20" s="886">
        <f>IF(ISNUMBER((Datos!P20-Datos!Q20+R20)/(Datos!R20-Datos!P20+Datos!Q20-R20)),(Datos!P20-Datos!Q20+R20)/(Datos!R20-Datos!P20+Datos!Q20-R20)," - ")</f>
        <v>1.4862681744749596E-2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708.33333333333337</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3.1340424729448424</v>
      </c>
      <c r="F22" s="550">
        <f>IF(ISNUMBER(STDEV(F8:F19)),STDEV(F8:F19),"-")</f>
        <v>1165.3713142170611</v>
      </c>
      <c r="G22" s="551">
        <f>IF(ISNUMBER(STDEV(G8:G19)),STDEV(G8:G19),"-")</f>
        <v>1091.9314386291232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1877.1059284618614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692.29060784780677</v>
      </c>
      <c r="BD22" s="550"/>
      <c r="BE22" s="550">
        <f>IF(ISNUMBER(STDEV(BE8:BE19)),STDEV(BE8:BE19),"-")</f>
        <v>0</v>
      </c>
      <c r="BF22" s="555">
        <f>IF(ISNUMBER(STDEV(BF8:BF19)),STDEV(BF8:BF19),"-")</f>
        <v>0</v>
      </c>
      <c r="BG22" s="772">
        <f>IF(ISNUMBER(STDEV(BG8:BG19)),STDEV(BG8:BG19),"-")</f>
        <v>0.35471566643417102</v>
      </c>
      <c r="BH22" s="773">
        <f>IF(ISNUMBER(STDEV(BH8:BH19)),STDEV(BH8:BH19),"-")</f>
        <v>3.0383935682878724</v>
      </c>
      <c r="BI22" s="248">
        <f>IF(ISNUMBER(STDEV(BI8:BI19)),STDEV(BI8:BI19),"-")</f>
        <v>0.11945544807826748</v>
      </c>
      <c r="BJ22" s="986" t="str">
        <f>IF(ISNUMBER(BL22/BM22),BL22/BM22," - ")</f>
        <v xml:space="preserve"> - </v>
      </c>
      <c r="BK22" s="574"/>
      <c r="BL22" s="558">
        <f>IF(ISNUMBER(STDEV(BL8:BL19)),STDEV(BL8:BL19),"-")</f>
        <v>1.2072959838483326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6YN0wlvZcQNMp/lNVuRdd/VFL/qJ59pl4XpkObWVZNAn4ETK6rylWEVXaDq3EDQ01kBj4HLC3PRArRV4r5tPpg==" saltValue="hnM3v2XRhRK9/eH5HHEe7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SANTA CRUZ DE TENERIFE  Resumenes por Partidos Judiciales  SAN CRISTOBAL DE LA LAGUNA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0.35050675675675674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0.24784570455440641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NlaTFBrMS7G7PZYxk6wgrJ4G0J7Bhs1fluXDAvN07OECzUZ611W4umNAk8s720VNbHmVJA8FBiKMLETMOGa9dA==" saltValue="iocqcjhiJ4nTlHL3x3Q31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SANTA CRUZ DE TENERIFE</v>
      </c>
      <c r="C4" s="787" t="str">
        <f>IF(Criterios!B11=0,"",Criterios!B11)</f>
        <v>SAN CRISTOBAL DE LA LAGUNA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bvZD7jatOO3lQQEqgVRlLBy6jRfix2p5Ip5aBetH1b0fwlf6TyT+SNIvZBgaomP5OfUN72VzUfZ3UR8YOQTMTg==" saltValue="zSSmrkTIZxGvxECptEXxq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